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srvv-webdata.ad.ufl.edu\websites$\agecon.centers.ufl.edu\documents\cropins\"/>
    </mc:Choice>
  </mc:AlternateContent>
  <bookViews>
    <workbookView xWindow="0" yWindow="0" windowWidth="19944" windowHeight="8280"/>
  </bookViews>
  <sheets>
    <sheet name="Disclaimer" sheetId="23" r:id="rId1"/>
    <sheet name="Avocado " sheetId="10" r:id="rId2"/>
    <sheet name="Carambola " sheetId="28" r:id="rId3"/>
    <sheet name="Mango " sheetId="31" r:id="rId4"/>
    <sheet name="Limes " sheetId="33" r:id="rId5"/>
    <sheet name="Avoc rates" sheetId="25" r:id="rId6"/>
    <sheet name=" Caram rates" sheetId="29" r:id="rId7"/>
    <sheet name="Mango rates " sheetId="30" r:id="rId8"/>
    <sheet name="Limes rates" sheetId="32" r:id="rId9"/>
    <sheet name="Sheet1" sheetId="24" r:id="rId10"/>
  </sheets>
  <definedNames>
    <definedName name="CLEVEL" localSheetId="2">#REF!</definedName>
    <definedName name="CLEVEL" localSheetId="4">#REF!</definedName>
    <definedName name="CLEVEL" localSheetId="3">#REF!</definedName>
    <definedName name="CLEVEL">#REF!</definedName>
    <definedName name="P.E." localSheetId="2">#REF!</definedName>
    <definedName name="P.E." localSheetId="4">#REF!</definedName>
    <definedName name="P.E." localSheetId="3">#REF!</definedName>
    <definedName name="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9" i="10" l="1"/>
  <c r="E39" i="10" l="1"/>
  <c r="D24" i="10"/>
  <c r="C39" i="10"/>
  <c r="E39" i="31"/>
  <c r="D18" i="10"/>
  <c r="F39" i="10" l="1"/>
  <c r="D24" i="28"/>
  <c r="E39" i="28"/>
  <c r="F39" i="28" l="1"/>
  <c r="T42" i="10"/>
  <c r="W18" i="10"/>
  <c r="L18" i="10"/>
  <c r="G18" i="33" l="1"/>
  <c r="Z20" i="10" l="1"/>
  <c r="Z23" i="10"/>
  <c r="Y23" i="10"/>
  <c r="Z22" i="10"/>
  <c r="Y22" i="10"/>
  <c r="Z21" i="10"/>
  <c r="Y21" i="10"/>
  <c r="Y20" i="10"/>
  <c r="Z19" i="10"/>
  <c r="Y19" i="10"/>
  <c r="Z18" i="10"/>
  <c r="Y18" i="10"/>
  <c r="X23" i="10"/>
  <c r="X22" i="10"/>
  <c r="X21" i="10"/>
  <c r="X20" i="10"/>
  <c r="X18" i="10"/>
  <c r="X19" i="10"/>
  <c r="H19" i="10"/>
  <c r="G19" i="10"/>
  <c r="F19" i="10"/>
  <c r="P23" i="10"/>
  <c r="O23" i="10"/>
  <c r="N23" i="10"/>
  <c r="P22" i="10"/>
  <c r="O22" i="10"/>
  <c r="N22" i="10"/>
  <c r="P21" i="10"/>
  <c r="O21" i="10"/>
  <c r="N21" i="10"/>
  <c r="P20" i="10"/>
  <c r="O20" i="10"/>
  <c r="N20" i="10"/>
  <c r="P19" i="10"/>
  <c r="O19" i="10"/>
  <c r="N19" i="10"/>
  <c r="P18" i="10"/>
  <c r="O18" i="10"/>
  <c r="N18" i="10"/>
  <c r="H23" i="10"/>
  <c r="G23" i="10"/>
  <c r="F23" i="10"/>
  <c r="H22" i="10"/>
  <c r="G22" i="10"/>
  <c r="F22" i="10"/>
  <c r="H21" i="10"/>
  <c r="G21" i="10"/>
  <c r="F21" i="10"/>
  <c r="H20" i="10"/>
  <c r="G20" i="10"/>
  <c r="F20" i="10"/>
  <c r="F18" i="10"/>
  <c r="H18" i="10"/>
  <c r="G18" i="10"/>
  <c r="P23" i="33"/>
  <c r="G90" i="33" s="1"/>
  <c r="O23" i="33"/>
  <c r="F90" i="33" s="1"/>
  <c r="N23" i="33"/>
  <c r="E90" i="33" s="1"/>
  <c r="P22" i="33"/>
  <c r="G89" i="33" s="1"/>
  <c r="O22" i="33"/>
  <c r="F89" i="33" s="1"/>
  <c r="N22" i="33"/>
  <c r="E89" i="33" s="1"/>
  <c r="P21" i="33"/>
  <c r="G88" i="33" s="1"/>
  <c r="O21" i="33"/>
  <c r="F88" i="33" s="1"/>
  <c r="N21" i="33"/>
  <c r="E88" i="33" s="1"/>
  <c r="P20" i="33"/>
  <c r="G87" i="33" s="1"/>
  <c r="O20" i="33"/>
  <c r="F87" i="33" s="1"/>
  <c r="N20" i="33"/>
  <c r="E87" i="33" s="1"/>
  <c r="P19" i="33"/>
  <c r="G86" i="33" s="1"/>
  <c r="O19" i="33"/>
  <c r="F86" i="33" s="1"/>
  <c r="N19" i="33"/>
  <c r="E86" i="33" s="1"/>
  <c r="P18" i="33"/>
  <c r="G85" i="33" s="1"/>
  <c r="O18" i="33"/>
  <c r="F85" i="33" s="1"/>
  <c r="N18" i="33"/>
  <c r="E85" i="33" s="1"/>
  <c r="H23" i="33"/>
  <c r="G23" i="33"/>
  <c r="F23" i="33"/>
  <c r="H22" i="33"/>
  <c r="G22" i="33"/>
  <c r="F22" i="33"/>
  <c r="H21" i="33"/>
  <c r="G21" i="33"/>
  <c r="F21" i="33"/>
  <c r="H20" i="33"/>
  <c r="G20" i="33"/>
  <c r="F20" i="33"/>
  <c r="H19" i="33"/>
  <c r="G19" i="33"/>
  <c r="F19" i="33"/>
  <c r="H18" i="33"/>
  <c r="F18" i="33"/>
  <c r="I90" i="33"/>
  <c r="H90" i="33"/>
  <c r="I89" i="33"/>
  <c r="H89" i="33"/>
  <c r="I88" i="33"/>
  <c r="H88" i="33"/>
  <c r="I87" i="33"/>
  <c r="H87" i="33"/>
  <c r="I86" i="33"/>
  <c r="H86" i="33"/>
  <c r="I85" i="33"/>
  <c r="H85" i="33"/>
  <c r="K39" i="33"/>
  <c r="M39" i="33" s="1"/>
  <c r="E39" i="33"/>
  <c r="C39" i="33"/>
  <c r="D24" i="33"/>
  <c r="L23" i="33"/>
  <c r="M23" i="33" s="1"/>
  <c r="E23" i="33"/>
  <c r="D23" i="33"/>
  <c r="L22" i="33"/>
  <c r="M22" i="33" s="1"/>
  <c r="E22" i="33"/>
  <c r="D22" i="33"/>
  <c r="L21" i="33"/>
  <c r="M21" i="33" s="1"/>
  <c r="E21" i="33"/>
  <c r="D21" i="33"/>
  <c r="L20" i="33"/>
  <c r="M20" i="33" s="1"/>
  <c r="E20" i="33"/>
  <c r="D20" i="33"/>
  <c r="L19" i="33"/>
  <c r="M19" i="33" s="1"/>
  <c r="L39" i="33" s="1"/>
  <c r="E19" i="33"/>
  <c r="D19" i="33"/>
  <c r="L18" i="33"/>
  <c r="M18" i="33" s="1"/>
  <c r="E18" i="33"/>
  <c r="D18" i="33"/>
  <c r="F39" i="33" l="1"/>
  <c r="AA18" i="10"/>
  <c r="I19" i="10"/>
  <c r="I18" i="10"/>
  <c r="D39" i="33"/>
  <c r="G39" i="33" s="1"/>
  <c r="J87" i="33"/>
  <c r="Q20" i="33"/>
  <c r="Q18" i="33"/>
  <c r="Q22" i="33"/>
  <c r="I21" i="33"/>
  <c r="I20" i="33"/>
  <c r="J85" i="33"/>
  <c r="I19" i="33"/>
  <c r="J86" i="33"/>
  <c r="I18" i="33"/>
  <c r="H39" i="33" s="1"/>
  <c r="I23" i="33"/>
  <c r="I22" i="33"/>
  <c r="J90" i="33"/>
  <c r="J89" i="33"/>
  <c r="J88" i="33"/>
  <c r="Q21" i="33"/>
  <c r="Q19" i="33"/>
  <c r="O39" i="33"/>
  <c r="Q23" i="33"/>
  <c r="P23" i="31"/>
  <c r="G94" i="31" s="1"/>
  <c r="O23" i="31"/>
  <c r="F94" i="31" s="1"/>
  <c r="N23" i="31"/>
  <c r="P22" i="31"/>
  <c r="G93" i="31" s="1"/>
  <c r="O22" i="31"/>
  <c r="F93" i="31" s="1"/>
  <c r="N22" i="31"/>
  <c r="E93" i="31" s="1"/>
  <c r="P21" i="31"/>
  <c r="G92" i="31" s="1"/>
  <c r="O21" i="31"/>
  <c r="F92" i="31" s="1"/>
  <c r="N21" i="31"/>
  <c r="E92" i="31" s="1"/>
  <c r="P20" i="31"/>
  <c r="G91" i="31" s="1"/>
  <c r="O20" i="31"/>
  <c r="F91" i="31" s="1"/>
  <c r="N20" i="31"/>
  <c r="P19" i="31"/>
  <c r="G90" i="31" s="1"/>
  <c r="O19" i="31"/>
  <c r="F90" i="31" s="1"/>
  <c r="N19" i="31"/>
  <c r="P18" i="31"/>
  <c r="G89" i="31" s="1"/>
  <c r="O18" i="31"/>
  <c r="F89" i="31" s="1"/>
  <c r="N18" i="31"/>
  <c r="E89" i="31" s="1"/>
  <c r="H23" i="31"/>
  <c r="G23" i="31"/>
  <c r="F23" i="31"/>
  <c r="F22" i="31"/>
  <c r="H22" i="31"/>
  <c r="G22" i="31"/>
  <c r="H21" i="31"/>
  <c r="G21" i="31"/>
  <c r="F21" i="31"/>
  <c r="H20" i="31"/>
  <c r="G20" i="31"/>
  <c r="F20" i="31"/>
  <c r="H19" i="31"/>
  <c r="G19" i="31"/>
  <c r="H18" i="31"/>
  <c r="G18" i="31"/>
  <c r="F19" i="31"/>
  <c r="F18" i="31"/>
  <c r="I94" i="31"/>
  <c r="H94" i="31"/>
  <c r="I93" i="31"/>
  <c r="H93" i="31"/>
  <c r="I92" i="31"/>
  <c r="H92" i="31"/>
  <c r="I91" i="31"/>
  <c r="H91" i="31"/>
  <c r="I90" i="31"/>
  <c r="H90" i="31"/>
  <c r="I89" i="31"/>
  <c r="H89" i="31"/>
  <c r="K39" i="31"/>
  <c r="M39" i="31" s="1"/>
  <c r="C39" i="31"/>
  <c r="D24" i="31"/>
  <c r="F39" i="31" s="1"/>
  <c r="L23" i="31"/>
  <c r="M23" i="31" s="1"/>
  <c r="E23" i="31"/>
  <c r="D23" i="31"/>
  <c r="L22" i="31"/>
  <c r="M22" i="31" s="1"/>
  <c r="E22" i="31"/>
  <c r="D22" i="31"/>
  <c r="L21" i="31"/>
  <c r="M21" i="31" s="1"/>
  <c r="E21" i="31"/>
  <c r="D21" i="31"/>
  <c r="E91" i="31"/>
  <c r="L20" i="31"/>
  <c r="M20" i="31" s="1"/>
  <c r="E20" i="31"/>
  <c r="D20" i="31"/>
  <c r="L19" i="31"/>
  <c r="M19" i="31" s="1"/>
  <c r="E19" i="31"/>
  <c r="D19" i="31"/>
  <c r="L18" i="31"/>
  <c r="M18" i="31" s="1"/>
  <c r="L39" i="31" s="1"/>
  <c r="E18" i="31"/>
  <c r="D39" i="31" s="1"/>
  <c r="D18" i="31"/>
  <c r="P23" i="28"/>
  <c r="G94" i="28" s="1"/>
  <c r="O23" i="28"/>
  <c r="F94" i="28" s="1"/>
  <c r="N23" i="28"/>
  <c r="E94" i="28" s="1"/>
  <c r="P22" i="28"/>
  <c r="G93" i="28" s="1"/>
  <c r="O22" i="28"/>
  <c r="F93" i="28" s="1"/>
  <c r="N22" i="28"/>
  <c r="E93" i="28" s="1"/>
  <c r="P21" i="28"/>
  <c r="G92" i="28" s="1"/>
  <c r="O21" i="28"/>
  <c r="F92" i="28" s="1"/>
  <c r="N21" i="28"/>
  <c r="P20" i="28"/>
  <c r="G91" i="28" s="1"/>
  <c r="O20" i="28"/>
  <c r="F91" i="28" s="1"/>
  <c r="N20" i="28"/>
  <c r="E91" i="28" s="1"/>
  <c r="P19" i="28"/>
  <c r="G90" i="28" s="1"/>
  <c r="O19" i="28"/>
  <c r="F90" i="28" s="1"/>
  <c r="N19" i="28"/>
  <c r="E90" i="28" s="1"/>
  <c r="P18" i="28"/>
  <c r="G89" i="28" s="1"/>
  <c r="O18" i="28"/>
  <c r="N18" i="28"/>
  <c r="E89" i="28" s="1"/>
  <c r="F23" i="28"/>
  <c r="H23" i="28"/>
  <c r="G23" i="28"/>
  <c r="H22" i="28"/>
  <c r="G22" i="28"/>
  <c r="F22" i="28"/>
  <c r="H21" i="28"/>
  <c r="G21" i="28"/>
  <c r="F21" i="28"/>
  <c r="H20" i="28"/>
  <c r="G20" i="28"/>
  <c r="F20" i="28"/>
  <c r="H19" i="28"/>
  <c r="G19" i="28"/>
  <c r="F19" i="28"/>
  <c r="F18" i="28"/>
  <c r="H18" i="28"/>
  <c r="G18" i="28"/>
  <c r="D18" i="28"/>
  <c r="I94" i="28"/>
  <c r="H94" i="28"/>
  <c r="I93" i="28"/>
  <c r="H93" i="28"/>
  <c r="I92" i="28"/>
  <c r="H92" i="28"/>
  <c r="I91" i="28"/>
  <c r="H91" i="28"/>
  <c r="I90" i="28"/>
  <c r="H90" i="28"/>
  <c r="I89" i="28"/>
  <c r="H89" i="28"/>
  <c r="K39" i="28"/>
  <c r="M39" i="28" s="1"/>
  <c r="C39" i="28"/>
  <c r="L23" i="28"/>
  <c r="M23" i="28" s="1"/>
  <c r="E23" i="28"/>
  <c r="D23" i="28"/>
  <c r="L22" i="28"/>
  <c r="M22" i="28" s="1"/>
  <c r="E22" i="28"/>
  <c r="D22" i="28"/>
  <c r="L21" i="28"/>
  <c r="M21" i="28" s="1"/>
  <c r="E21" i="28"/>
  <c r="D21" i="28"/>
  <c r="L20" i="28"/>
  <c r="M20" i="28" s="1"/>
  <c r="E20" i="28"/>
  <c r="D20" i="28"/>
  <c r="L19" i="28"/>
  <c r="M19" i="28" s="1"/>
  <c r="E19" i="28"/>
  <c r="D19" i="28"/>
  <c r="L18" i="28"/>
  <c r="M18" i="28" s="1"/>
  <c r="E18" i="28"/>
  <c r="D39" i="28" s="1"/>
  <c r="L39" i="28" l="1"/>
  <c r="O39" i="28" s="1"/>
  <c r="O39" i="31"/>
  <c r="H12" i="33"/>
  <c r="I39" i="33"/>
  <c r="O12" i="33"/>
  <c r="N39" i="33"/>
  <c r="P39" i="33" s="1"/>
  <c r="I21" i="31"/>
  <c r="I20" i="31"/>
  <c r="J91" i="31"/>
  <c r="Q19" i="31"/>
  <c r="Q23" i="31"/>
  <c r="I22" i="31"/>
  <c r="I23" i="31"/>
  <c r="I18" i="31"/>
  <c r="H12" i="31" s="1"/>
  <c r="I19" i="31"/>
  <c r="G39" i="31"/>
  <c r="J89" i="31"/>
  <c r="J92" i="31"/>
  <c r="J93" i="31"/>
  <c r="Q18" i="31"/>
  <c r="Q20" i="31"/>
  <c r="Q22" i="31"/>
  <c r="E90" i="31"/>
  <c r="J90" i="31" s="1"/>
  <c r="E94" i="31"/>
  <c r="J94" i="31" s="1"/>
  <c r="Q21" i="31"/>
  <c r="G39" i="28"/>
  <c r="Q18" i="28"/>
  <c r="Q21" i="28"/>
  <c r="Q22" i="28"/>
  <c r="F89" i="28"/>
  <c r="J89" i="28" s="1"/>
  <c r="J90" i="28"/>
  <c r="J94" i="28"/>
  <c r="Q20" i="28"/>
  <c r="I20" i="28"/>
  <c r="I22" i="28"/>
  <c r="I23" i="28"/>
  <c r="I19" i="28"/>
  <c r="I21" i="28"/>
  <c r="I18" i="28"/>
  <c r="H39" i="28" s="1"/>
  <c r="J93" i="28"/>
  <c r="J91" i="28"/>
  <c r="E92" i="28"/>
  <c r="J92" i="28" s="1"/>
  <c r="Q19" i="28"/>
  <c r="Q23" i="28"/>
  <c r="H39" i="31" l="1"/>
  <c r="I39" i="31" s="1"/>
  <c r="O12" i="31"/>
  <c r="N39" i="31"/>
  <c r="P39" i="31" s="1"/>
  <c r="H12" i="28"/>
  <c r="I39" i="28"/>
  <c r="N39" i="28"/>
  <c r="P39" i="28" s="1"/>
  <c r="O12" i="28"/>
  <c r="K39" i="10"/>
  <c r="M39" i="10" s="1"/>
  <c r="V18" i="10" l="1"/>
  <c r="U23" i="10" l="1"/>
  <c r="U22" i="10"/>
  <c r="U21" i="10"/>
  <c r="U20" i="10"/>
  <c r="U19" i="10"/>
  <c r="U18" i="10"/>
  <c r="W23" i="10"/>
  <c r="W22" i="10"/>
  <c r="W21" i="10"/>
  <c r="W20" i="10"/>
  <c r="W19" i="10"/>
  <c r="S42" i="10" s="1"/>
  <c r="U42" i="10" s="1"/>
  <c r="V23" i="10"/>
  <c r="V22" i="10"/>
  <c r="V21" i="10"/>
  <c r="V20" i="10"/>
  <c r="V19" i="10"/>
  <c r="T23" i="10"/>
  <c r="T22" i="10"/>
  <c r="T21" i="10"/>
  <c r="T20" i="10"/>
  <c r="T19" i="10"/>
  <c r="T18" i="10"/>
  <c r="S39" i="10" l="1"/>
  <c r="U39" i="10" s="1"/>
  <c r="E18" i="10"/>
  <c r="D39" i="10" s="1"/>
  <c r="G39" i="10" s="1"/>
  <c r="D19" i="10"/>
  <c r="E19" i="10"/>
  <c r="D20" i="10"/>
  <c r="E20" i="10"/>
  <c r="D21" i="10"/>
  <c r="E21" i="10"/>
  <c r="D22" i="10"/>
  <c r="E22" i="10"/>
  <c r="D23" i="10"/>
  <c r="E23" i="10"/>
  <c r="V42" i="10" l="1"/>
  <c r="I23" i="10"/>
  <c r="I22" i="10"/>
  <c r="H39" i="10"/>
  <c r="I21" i="10"/>
  <c r="I20" i="10"/>
  <c r="L23" i="10"/>
  <c r="L22" i="10"/>
  <c r="L21" i="10"/>
  <c r="L20" i="10"/>
  <c r="L19" i="10"/>
  <c r="M19" i="10" s="1"/>
  <c r="M18" i="10"/>
  <c r="L39" i="10" l="1"/>
  <c r="O39" i="10" s="1"/>
  <c r="I39" i="10"/>
  <c r="H12" i="10"/>
  <c r="H89" i="10" l="1"/>
  <c r="M23" i="10" l="1"/>
  <c r="I94" i="10" l="1"/>
  <c r="H94" i="10"/>
  <c r="I93" i="10"/>
  <c r="H93" i="10"/>
  <c r="I92" i="10"/>
  <c r="H92" i="10"/>
  <c r="I91" i="10"/>
  <c r="H91" i="10"/>
  <c r="I90" i="10"/>
  <c r="H90" i="10"/>
  <c r="I89" i="10" l="1"/>
  <c r="E94" i="10"/>
  <c r="M22" i="10"/>
  <c r="M21" i="10"/>
  <c r="M20" i="10"/>
  <c r="G94" i="10"/>
  <c r="F94" i="10"/>
  <c r="G93" i="10"/>
  <c r="F93" i="10"/>
  <c r="E93" i="10"/>
  <c r="E92" i="10"/>
  <c r="G92" i="10"/>
  <c r="F92" i="10"/>
  <c r="G91" i="10"/>
  <c r="F91" i="10"/>
  <c r="G90" i="10"/>
  <c r="F90" i="10"/>
  <c r="E90" i="10"/>
  <c r="G89" i="10"/>
  <c r="F89" i="10"/>
  <c r="E89" i="10"/>
  <c r="J89" i="10" l="1"/>
  <c r="Q20" i="10"/>
  <c r="J90" i="10"/>
  <c r="J94" i="10"/>
  <c r="J92" i="10"/>
  <c r="E91" i="10"/>
  <c r="J91" i="10" s="1"/>
  <c r="J93" i="10"/>
  <c r="Q19" i="10"/>
  <c r="Q22" i="10"/>
  <c r="Q21" i="10"/>
  <c r="Q23" i="10"/>
  <c r="Q18" i="10"/>
  <c r="O12" i="10" l="1"/>
  <c r="N39" i="10"/>
  <c r="P39" i="10" s="1"/>
  <c r="AA20" i="10"/>
  <c r="AA22" i="10"/>
  <c r="AA19" i="10"/>
  <c r="V39" i="10" s="1"/>
  <c r="W40" i="10" s="1"/>
  <c r="AA23" i="10"/>
  <c r="AA21" i="10"/>
  <c r="Y12" i="10" l="1"/>
</calcChain>
</file>

<file path=xl/sharedStrings.xml><?xml version="1.0" encoding="utf-8"?>
<sst xmlns="http://schemas.openxmlformats.org/spreadsheetml/2006/main" count="418" uniqueCount="85">
  <si>
    <t>Stage I</t>
  </si>
  <si>
    <t>Stage II</t>
  </si>
  <si>
    <t>Stage III</t>
  </si>
  <si>
    <t>Protection</t>
  </si>
  <si>
    <t>II</t>
  </si>
  <si>
    <t>III</t>
  </si>
  <si>
    <t>I</t>
  </si>
  <si>
    <t>Tree Stage % Damage</t>
  </si>
  <si>
    <t>CTV</t>
  </si>
  <si>
    <t>Premium</t>
  </si>
  <si>
    <t>OLO&amp;CTV</t>
  </si>
  <si>
    <t>Stage</t>
  </si>
  <si>
    <t>Support Provided by:</t>
  </si>
  <si>
    <t>Avocado Trees</t>
  </si>
  <si>
    <t>CAT 50%</t>
  </si>
  <si>
    <t>https://www.rma.usda.gov/-/media/RMAweb/Handbooks/Loss-Adjustment-Standards---25000/Florida-Fruit-Trees/2018-25570-Florida-Fruit-Tree-Loss-Adjustment.ashx</t>
  </si>
  <si>
    <t>https://www.cardeninsurance.com/Data/Carden_CitrusTree_SalesDataSheet.pdf</t>
  </si>
  <si>
    <t>https://www.rma.usda.gov/-/media/RMAweb/Handbooks/Loss-Adjustment-Standards---25000/Florida-Fruit-Trees/2020-25570-Florida-Fruit-Tree-Loss-Adjustment-Standards.ashx</t>
  </si>
  <si>
    <t>CAT</t>
  </si>
  <si>
    <t>-</t>
  </si>
  <si>
    <t># trees damaged</t>
  </si>
  <si>
    <t>% damage</t>
  </si>
  <si>
    <t>Premium by stage</t>
  </si>
  <si>
    <t xml:space="preserve"> Base FFT</t>
  </si>
  <si>
    <t>Destroyed trees</t>
  </si>
  <si>
    <t>Producer Premium</t>
  </si>
  <si>
    <t>FLORIDA FRUIT TREE BASE POLICY</t>
  </si>
  <si>
    <t>FLORIDA FRUIT TREE POLICY WITH THE OLO POLICY ENDORSEMENT</t>
  </si>
  <si>
    <t>FLORIDA FRUIT TREE POLICY WITH THE CTV POLICY ENDORSEMENT</t>
  </si>
  <si>
    <t>Minimum</t>
  </si>
  <si>
    <t>Maximum</t>
  </si>
  <si>
    <t>CAT Indemnity</t>
  </si>
  <si>
    <t>Carambola Trees</t>
  </si>
  <si>
    <t>Mango Trees</t>
  </si>
  <si>
    <t>Lime Trees</t>
  </si>
  <si>
    <t>OW Olo Base Policy 0.027</t>
  </si>
  <si>
    <r>
      <t xml:space="preserve">                                                                                                                      </t>
    </r>
    <r>
      <rPr>
        <b/>
        <i/>
        <sz val="12"/>
        <color theme="1"/>
        <rFont val="Times New Roman"/>
        <family val="1"/>
      </rPr>
      <t>CONDITIONS OF USE:</t>
    </r>
    <r>
      <rPr>
        <b/>
        <sz val="12"/>
        <color theme="1"/>
        <rFont val="Times New Roman"/>
        <family val="1"/>
      </rPr>
      <t xml:space="preserve">          </t>
    </r>
    <r>
      <rPr>
        <sz val="12"/>
        <color theme="1"/>
        <rFont val="Times New Roman"/>
        <family val="1"/>
      </rPr>
      <t xml:space="preserve">                                                                                                                                                                                                                                                                                                                                              THIS SOFTWARE IS PROVIDED "AS IS" AND THE AUTHOR DISCLAIMS ALL WARRANTIES WITH REGARD TO THIS SOFTWARE INCLUDING ALL IMPLIED WARRANTIES OF MERCHANTABILITY AND FITNESS. IN NO EVENT SHALL THE AUTHOR BE LIABLE FOR ANY SPECIAL, DIRECT, INDIRECT, OR CONSEQUENTIAL DAMAGES OR ANY DAMAGES WHATSOEVER RESULTING FROM LOSS OF USE, DATA OR PROFITS, WHETHER IN AN ACTION OF CONTRACT, NEGLIGENCE OR OTHER TORTIOUS ACTION, ARISING OUT OF OR IN CONNECTION WITH THE USE OR PERFORMANCE OF THIS SOFTWARE.                                                                                                                                                                                             </t>
    </r>
  </si>
  <si>
    <r>
      <t>This decision tool estimates crop insurance premiums under different user selected coverage levels; the premium estimates do not include Administrative and Operating (A&amp;O) payments and other administrative fees.</t>
    </r>
    <r>
      <rPr>
        <b/>
        <i/>
        <sz val="14"/>
        <color theme="1"/>
        <rFont val="Times New Roman"/>
        <family val="1"/>
      </rPr>
      <t xml:space="preserve"> For a detailed crop insurance quote, please contact a crop insurance agent.  </t>
    </r>
    <r>
      <rPr>
        <sz val="14"/>
        <color theme="1"/>
        <rFont val="Times New Roman"/>
        <family val="1"/>
      </rPr>
      <t xml:space="preserve">                                                                                                                                                                                                                                             The tool also helps the grower to evaluate different financial outcomes resulting from simulated crop losses under different insurance coverages, and policy endorsements. </t>
    </r>
    <r>
      <rPr>
        <b/>
        <sz val="14"/>
        <color theme="1"/>
        <rFont val="Times New Roman"/>
        <family val="1"/>
      </rPr>
      <t xml:space="preserve">The final crop insurance indemnity payment will based on the assesment of losses by a crop insurance adjuster, and the specific policy and exclusions.                                                                                                                                                               </t>
    </r>
  </si>
  <si>
    <t xml:space="preserve"> Florida Fruit Tree Crop Insurance Decision Tool                                                                                                                                                                                                                                                           Crop year 2020, Miami Dade County </t>
  </si>
  <si>
    <t>FFT Indemnity</t>
  </si>
  <si>
    <t>CAT Reference Value</t>
  </si>
  <si>
    <t>Number of Trees Insured</t>
  </si>
  <si>
    <t>Insurance Coverage</t>
  </si>
  <si>
    <t>OLO Indemnity</t>
  </si>
  <si>
    <t>OLO Net Indemnity</t>
  </si>
  <si>
    <t>Insured Damage</t>
  </si>
  <si>
    <t>Damage Value</t>
  </si>
  <si>
    <t>% Damage</t>
  </si>
  <si>
    <t># Trees Damaged</t>
  </si>
  <si>
    <t>Number of  Insured Trees</t>
  </si>
  <si>
    <t>Insurance Deductible</t>
  </si>
  <si>
    <t>CAT   Damage</t>
  </si>
  <si>
    <t>Net Indemnity</t>
  </si>
  <si>
    <t>Coverage Level</t>
  </si>
  <si>
    <t>Amount of Protection</t>
  </si>
  <si>
    <t>Unit Deductible</t>
  </si>
  <si>
    <t>Premium by Tree Stage</t>
  </si>
  <si>
    <t>5% Unit Value</t>
  </si>
  <si>
    <t>Tree Reference Value</t>
  </si>
  <si>
    <t xml:space="preserve"> Tree Reference Value</t>
  </si>
  <si>
    <t>CTV Reference Value</t>
  </si>
  <si>
    <t>Number of Insured Trees</t>
  </si>
  <si>
    <t>CTV Protection</t>
  </si>
  <si>
    <t>CTV Deductible</t>
  </si>
  <si>
    <t>FFT Premium</t>
  </si>
  <si>
    <t>Unit FFT Deductible</t>
  </si>
  <si>
    <t xml:space="preserve"> FFT Damage Value</t>
  </si>
  <si>
    <t>FFT Deductible</t>
  </si>
  <si>
    <t>CTV damage Value</t>
  </si>
  <si>
    <t>CTV Indemnity</t>
  </si>
  <si>
    <t>Total Indemnity</t>
  </si>
  <si>
    <t>OLO Value</t>
  </si>
  <si>
    <t>Damaged trees                                          ( 100% damage)</t>
  </si>
  <si>
    <t>Tree Growth Stage</t>
  </si>
  <si>
    <r>
      <rPr>
        <b/>
        <i/>
        <sz val="11"/>
        <color theme="1"/>
        <rFont val="Calibri"/>
        <family val="2"/>
        <scheme val="minor"/>
      </rPr>
      <t>Step I:</t>
    </r>
    <r>
      <rPr>
        <sz val="11"/>
        <color theme="1"/>
        <rFont val="Calibri"/>
        <family val="2"/>
        <scheme val="minor"/>
      </rPr>
      <t xml:space="preserve"> enter the number of trees to be insured on the green cells. Then look at the table below to find out the insurance premium by coverage level. Next, select your desired coverage level on the second green column.</t>
    </r>
  </si>
  <si>
    <r>
      <rPr>
        <b/>
        <i/>
        <sz val="11"/>
        <color theme="1"/>
        <rFont val="Calibri"/>
        <family val="2"/>
        <scheme val="minor"/>
      </rPr>
      <t xml:space="preserve">Step II: </t>
    </r>
    <r>
      <rPr>
        <sz val="11"/>
        <color theme="1"/>
        <rFont val="Calibri"/>
        <family val="2"/>
        <scheme val="minor"/>
      </rPr>
      <t>please enter the number of damaged trees on the green cells; then select the percentage of damaged received. The yellow cells below will show indemnity payments (if any) based on the damage and coverage levels selected.</t>
    </r>
  </si>
  <si>
    <t>Step I: enter the number of trees to be insured on the green cells. Then look at the table below to find out the insurance premium by coverage level. Next, select your desired coverage level on the second green column.</t>
  </si>
  <si>
    <r>
      <rPr>
        <b/>
        <i/>
        <sz val="11"/>
        <color theme="1"/>
        <rFont val="Calibri"/>
        <family val="2"/>
        <scheme val="minor"/>
      </rPr>
      <t>Step II</t>
    </r>
    <r>
      <rPr>
        <sz val="11"/>
        <color theme="1"/>
        <rFont val="Calibri"/>
        <family val="2"/>
        <scheme val="minor"/>
      </rPr>
      <t>: please enter the number of damaged trees on the green cells; then select the percentage of damaged received. The yellow cells below will show indemnity payments (if any) based on the damage and coverage levels selected.</t>
    </r>
  </si>
  <si>
    <r>
      <rPr>
        <b/>
        <i/>
        <sz val="11"/>
        <color theme="1"/>
        <rFont val="Calibri"/>
        <family val="2"/>
        <scheme val="minor"/>
      </rPr>
      <t>Step I</t>
    </r>
    <r>
      <rPr>
        <sz val="11"/>
        <color theme="1"/>
        <rFont val="Calibri"/>
        <family val="2"/>
        <scheme val="minor"/>
      </rPr>
      <t>: enter the number of trees to be insured on the green cells. Then look at the table below to find out the insurance premium by coverage level. Next, select your desired coverage level on the second green column.</t>
    </r>
  </si>
  <si>
    <r>
      <rPr>
        <b/>
        <i/>
        <sz val="12"/>
        <color theme="1"/>
        <rFont val="Times New Roman"/>
        <family val="1"/>
      </rPr>
      <t xml:space="preserve">The tool was built based on the following assumptions: </t>
    </r>
    <r>
      <rPr>
        <sz val="12"/>
        <color theme="1"/>
        <rFont val="Times New Roman"/>
        <family val="1"/>
      </rPr>
      <t xml:space="preserve">                                                                                                                                                                                                                                              Crop insurance starts on June 1, unit structure basic, 100% ownership of the crop, and non-organic crop (No practice specified 997)                                                                      </t>
    </r>
  </si>
  <si>
    <t>CV Comprehensive Tree Value 0.013</t>
  </si>
  <si>
    <t>OW Olo Base Policy 0.045</t>
  </si>
  <si>
    <t>OX Olo Ctv Endorsement 0.030</t>
  </si>
  <si>
    <t>OW Olo Base Policy 0.037</t>
  </si>
  <si>
    <t>OW Olo Base Policy 0.048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</si>
</sst>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00"/>
    <numFmt numFmtId="165" formatCode="0.00000000"/>
    <numFmt numFmtId="166" formatCode="0.000000"/>
    <numFmt numFmtId="167" formatCode="_(&quot;$&quot;* #,##0_);_(&quot;$&quot;* \(#,##0\);_(&quot;$&quot;* &quot;-&quot;??_);_(@_)"/>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6"/>
      <color rgb="FF002060"/>
      <name val="Times New Roman"/>
      <family val="1"/>
    </font>
    <font>
      <sz val="14"/>
      <color theme="1"/>
      <name val="Times New Roman"/>
      <family val="1"/>
    </font>
    <font>
      <b/>
      <sz val="14"/>
      <color theme="1"/>
      <name val="Times New Roman"/>
      <family val="1"/>
    </font>
    <font>
      <sz val="16"/>
      <color theme="1"/>
      <name val="Times New Roman"/>
      <family val="1"/>
    </font>
    <font>
      <sz val="14"/>
      <color theme="1"/>
      <name val="Calibri"/>
      <family val="2"/>
      <scheme val="minor"/>
    </font>
    <font>
      <sz val="12.5"/>
      <color theme="1"/>
      <name val="Calibri"/>
      <family val="2"/>
      <scheme val="minor"/>
    </font>
    <font>
      <sz val="12"/>
      <color theme="1"/>
      <name val="Calibri"/>
      <family val="2"/>
      <scheme val="minor"/>
    </font>
    <font>
      <b/>
      <sz val="12.5"/>
      <color theme="1"/>
      <name val="Calibri"/>
      <family val="2"/>
      <scheme val="minor"/>
    </font>
    <font>
      <sz val="12.5"/>
      <color rgb="FF000000"/>
      <name val="Calibri"/>
      <family val="2"/>
      <scheme val="minor"/>
    </font>
    <font>
      <sz val="10"/>
      <name val="Arial"/>
      <family val="2"/>
    </font>
    <font>
      <u/>
      <sz val="11"/>
      <color theme="10"/>
      <name val="Calibri"/>
      <family val="2"/>
      <scheme val="minor"/>
    </font>
    <font>
      <sz val="11"/>
      <color rgb="FF000000"/>
      <name val="Calibri"/>
      <family val="2"/>
      <scheme val="minor"/>
    </font>
    <font>
      <b/>
      <sz val="11"/>
      <color rgb="FF00B050"/>
      <name val="Calibri"/>
      <family val="2"/>
      <scheme val="minor"/>
    </font>
    <font>
      <b/>
      <i/>
      <sz val="11"/>
      <color theme="1"/>
      <name val="Calibri"/>
      <family val="2"/>
      <scheme val="minor"/>
    </font>
    <font>
      <b/>
      <i/>
      <sz val="14"/>
      <color theme="1"/>
      <name val="Times New Roman"/>
      <family val="1"/>
    </font>
    <font>
      <sz val="12"/>
      <color theme="1"/>
      <name val="Times New Roman"/>
      <family val="1"/>
    </font>
    <font>
      <b/>
      <i/>
      <sz val="12"/>
      <color theme="1"/>
      <name val="Times New Roman"/>
      <family val="1"/>
    </font>
    <font>
      <b/>
      <sz val="12"/>
      <color theme="1"/>
      <name val="Times New Roman"/>
      <family val="1"/>
    </font>
  </fonts>
  <fills count="11">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5999633777886288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indexed="64"/>
      </right>
      <top/>
      <bottom style="thin">
        <color theme="2" tint="-9.9978637043366805E-2"/>
      </bottom>
      <diagonal/>
    </border>
    <border>
      <left style="thin">
        <color indexed="64"/>
      </left>
      <right style="thin">
        <color indexed="64"/>
      </right>
      <top/>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indexed="64"/>
      </left>
      <right style="thin">
        <color indexed="64"/>
      </right>
      <top/>
      <bottom style="thin">
        <color indexed="64"/>
      </bottom>
      <diagonal/>
    </border>
    <border>
      <left style="thin">
        <color indexed="64"/>
      </left>
      <right style="thin">
        <color theme="2" tint="-9.9978637043366805E-2"/>
      </right>
      <top style="thin">
        <color theme="2" tint="-9.9978637043366805E-2"/>
      </top>
      <bottom style="thin">
        <color indexed="64"/>
      </bottom>
      <diagonal/>
    </border>
    <border>
      <left style="thin">
        <color theme="2" tint="-9.9978637043366805E-2"/>
      </left>
      <right style="thin">
        <color theme="2" tint="-9.9978637043366805E-2"/>
      </right>
      <top style="thin">
        <color theme="2" tint="-9.9978637043366805E-2"/>
      </top>
      <bottom style="thin">
        <color indexed="64"/>
      </bottom>
      <diagonal/>
    </border>
    <border>
      <left style="thin">
        <color theme="2" tint="-9.9978637043366805E-2"/>
      </left>
      <right style="thin">
        <color indexed="64"/>
      </right>
      <top style="thin">
        <color theme="2" tint="-9.9978637043366805E-2"/>
      </top>
      <bottom style="thin">
        <color indexed="64"/>
      </bottom>
      <diagonal/>
    </border>
    <border>
      <left/>
      <right/>
      <top style="thin">
        <color indexed="64"/>
      </top>
      <bottom style="thin">
        <color indexed="64"/>
      </bottom>
      <diagonal/>
    </border>
    <border>
      <left/>
      <right style="thin">
        <color theme="2" tint="-9.9978637043366805E-2"/>
      </right>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2" tint="-9.9978637043366805E-2"/>
      </right>
      <top style="thin">
        <color indexed="64"/>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style="thin">
        <color theme="2" tint="-9.9978637043366805E-2"/>
      </left>
      <right style="thin">
        <color indexed="64"/>
      </right>
      <top style="thin">
        <color indexed="64"/>
      </top>
      <bottom style="thin">
        <color theme="2" tint="-9.9978637043366805E-2"/>
      </bottom>
      <diagonal/>
    </border>
    <border>
      <left style="thin">
        <color indexed="64"/>
      </left>
      <right style="thin">
        <color indexed="64"/>
      </right>
      <top style="thin">
        <color indexed="64"/>
      </top>
      <bottom style="thin">
        <color theme="2" tint="-9.9978637043366805E-2"/>
      </bottom>
      <diagonal/>
    </border>
    <border>
      <left style="thin">
        <color indexed="64"/>
      </left>
      <right style="thin">
        <color indexed="64"/>
      </right>
      <top style="thin">
        <color theme="2" tint="-9.9978637043366805E-2"/>
      </top>
      <bottom style="thin">
        <color theme="2" tint="-9.9978637043366805E-2"/>
      </bottom>
      <diagonal/>
    </border>
    <border>
      <left style="thin">
        <color indexed="64"/>
      </left>
      <right style="thin">
        <color indexed="64"/>
      </right>
      <top style="thin">
        <color theme="2" tint="-9.9978637043366805E-2"/>
      </top>
      <bottom style="thin">
        <color indexed="64"/>
      </bottom>
      <diagonal/>
    </border>
    <border>
      <left style="thin">
        <color indexed="64"/>
      </left>
      <right/>
      <top/>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12" fillId="0" borderId="0"/>
    <xf numFmtId="0" fontId="13" fillId="0" borderId="0" applyNumberFormat="0" applyFill="0" applyBorder="0" applyAlignment="0" applyProtection="0"/>
    <xf numFmtId="44" fontId="2" fillId="0" borderId="0" applyFont="0" applyFill="0" applyBorder="0" applyAlignment="0" applyProtection="0"/>
  </cellStyleXfs>
  <cellXfs count="298">
    <xf numFmtId="0" fontId="0" fillId="0" borderId="0" xfId="0"/>
    <xf numFmtId="0" fontId="0" fillId="0" borderId="0" xfId="0" applyAlignment="1">
      <alignment horizontal="center"/>
    </xf>
    <xf numFmtId="9" fontId="0" fillId="0" borderId="0" xfId="1" applyFont="1"/>
    <xf numFmtId="9" fontId="0" fillId="0" borderId="0" xfId="1" applyFont="1" applyAlignment="1">
      <alignment horizontal="center"/>
    </xf>
    <xf numFmtId="1" fontId="0" fillId="0" borderId="0" xfId="1" applyNumberFormat="1" applyFont="1" applyAlignment="1">
      <alignment horizontal="center"/>
    </xf>
    <xf numFmtId="1" fontId="0" fillId="0" borderId="0" xfId="0" applyNumberFormat="1" applyAlignment="1">
      <alignment horizontal="center"/>
    </xf>
    <xf numFmtId="1" fontId="0" fillId="0" borderId="0" xfId="0" applyNumberFormat="1"/>
    <xf numFmtId="164" fontId="0" fillId="0" borderId="0" xfId="0" applyNumberFormat="1" applyFill="1"/>
    <xf numFmtId="0" fontId="0" fillId="0" borderId="0" xfId="0" applyBorder="1"/>
    <xf numFmtId="0" fontId="1" fillId="0" borderId="0" xfId="0" applyFont="1" applyAlignment="1">
      <alignment horizontal="center"/>
    </xf>
    <xf numFmtId="0" fontId="7" fillId="0" borderId="0" xfId="0" applyFont="1"/>
    <xf numFmtId="0" fontId="8" fillId="0" borderId="0" xfId="0" applyFont="1"/>
    <xf numFmtId="0" fontId="9" fillId="0" borderId="0" xfId="0" applyFont="1"/>
    <xf numFmtId="0" fontId="8" fillId="0" borderId="9" xfId="0" applyFont="1" applyBorder="1"/>
    <xf numFmtId="9" fontId="8" fillId="0" borderId="12" xfId="0" applyNumberFormat="1" applyFont="1" applyBorder="1"/>
    <xf numFmtId="165" fontId="11" fillId="0" borderId="13" xfId="0" applyNumberFormat="1" applyFont="1" applyBorder="1"/>
    <xf numFmtId="165" fontId="11" fillId="0" borderId="14" xfId="0" applyNumberFormat="1" applyFont="1" applyBorder="1"/>
    <xf numFmtId="165" fontId="11" fillId="5" borderId="15" xfId="0" applyNumberFormat="1" applyFont="1" applyFill="1" applyBorder="1" applyAlignment="1">
      <alignment horizontal="right" vertical="center" wrapText="1"/>
    </xf>
    <xf numFmtId="9" fontId="8" fillId="0" borderId="16" xfId="0" applyNumberFormat="1" applyFont="1" applyBorder="1"/>
    <xf numFmtId="165" fontId="11" fillId="0" borderId="17" xfId="0" applyNumberFormat="1" applyFont="1" applyBorder="1"/>
    <xf numFmtId="165" fontId="11" fillId="0" borderId="18" xfId="0" applyNumberFormat="1" applyFont="1" applyBorder="1"/>
    <xf numFmtId="165" fontId="11" fillId="0" borderId="19" xfId="0" applyNumberFormat="1" applyFont="1" applyBorder="1"/>
    <xf numFmtId="165" fontId="11" fillId="5" borderId="19" xfId="0" applyNumberFormat="1" applyFont="1" applyFill="1" applyBorder="1" applyAlignment="1">
      <alignment horizontal="right" vertical="center" wrapText="1"/>
    </xf>
    <xf numFmtId="165" fontId="11" fillId="5" borderId="17" xfId="0" applyNumberFormat="1" applyFont="1" applyFill="1" applyBorder="1" applyAlignment="1">
      <alignment horizontal="right" vertical="center" wrapText="1"/>
    </xf>
    <xf numFmtId="165" fontId="11" fillId="5" borderId="18" xfId="0" applyNumberFormat="1" applyFont="1" applyFill="1" applyBorder="1" applyAlignment="1">
      <alignment horizontal="right" vertical="center" wrapText="1"/>
    </xf>
    <xf numFmtId="0" fontId="8" fillId="0" borderId="20" xfId="0" applyFont="1" applyBorder="1" applyAlignment="1">
      <alignment horizontal="right"/>
    </xf>
    <xf numFmtId="165" fontId="11" fillId="0" borderId="21" xfId="0" applyNumberFormat="1" applyFont="1" applyBorder="1"/>
    <xf numFmtId="165" fontId="11" fillId="5" borderId="22" xfId="0" applyNumberFormat="1" applyFont="1" applyFill="1" applyBorder="1" applyAlignment="1">
      <alignment horizontal="right" vertical="center" wrapText="1"/>
    </xf>
    <xf numFmtId="165" fontId="11" fillId="5" borderId="23" xfId="0" applyNumberFormat="1" applyFont="1" applyFill="1" applyBorder="1" applyAlignment="1">
      <alignment horizontal="right" vertical="center" wrapText="1"/>
    </xf>
    <xf numFmtId="9" fontId="8" fillId="0" borderId="20" xfId="0" applyNumberFormat="1" applyFont="1" applyBorder="1"/>
    <xf numFmtId="165" fontId="11" fillId="0" borderId="23" xfId="0" applyNumberFormat="1" applyFont="1" applyBorder="1"/>
    <xf numFmtId="165" fontId="11" fillId="0" borderId="25" xfId="0" applyNumberFormat="1" applyFont="1" applyBorder="1"/>
    <xf numFmtId="165" fontId="11" fillId="0" borderId="26" xfId="0" applyNumberFormat="1" applyFont="1" applyBorder="1"/>
    <xf numFmtId="165" fontId="11" fillId="5" borderId="26" xfId="0" applyNumberFormat="1" applyFont="1" applyFill="1" applyBorder="1" applyAlignment="1">
      <alignment horizontal="right" vertical="center" wrapText="1"/>
    </xf>
    <xf numFmtId="165" fontId="11" fillId="5" borderId="21" xfId="0" applyNumberFormat="1" applyFont="1" applyFill="1" applyBorder="1" applyAlignment="1">
      <alignment horizontal="right" vertical="center" wrapText="1"/>
    </xf>
    <xf numFmtId="165" fontId="11" fillId="5" borderId="27" xfId="0" applyNumberFormat="1" applyFont="1" applyFill="1" applyBorder="1" applyAlignment="1">
      <alignment horizontal="right" vertical="center" wrapText="1"/>
    </xf>
    <xf numFmtId="166" fontId="11" fillId="5" borderId="13" xfId="0" applyNumberFormat="1" applyFont="1" applyFill="1" applyBorder="1" applyAlignment="1">
      <alignment horizontal="right" vertical="center" wrapText="1"/>
    </xf>
    <xf numFmtId="166" fontId="11" fillId="5" borderId="15" xfId="0" applyNumberFormat="1" applyFont="1" applyFill="1" applyBorder="1" applyAlignment="1">
      <alignment horizontal="right" vertical="center" wrapText="1"/>
    </xf>
    <xf numFmtId="166" fontId="11" fillId="5" borderId="17" xfId="0" applyNumberFormat="1" applyFont="1" applyFill="1" applyBorder="1" applyAlignment="1">
      <alignment horizontal="right" vertical="center" wrapText="1"/>
    </xf>
    <xf numFmtId="166" fontId="11" fillId="0" borderId="19" xfId="0" applyNumberFormat="1" applyFont="1" applyBorder="1"/>
    <xf numFmtId="166" fontId="11" fillId="0" borderId="17" xfId="0" applyNumberFormat="1" applyFont="1" applyBorder="1"/>
    <xf numFmtId="166" fontId="11" fillId="0" borderId="21" xfId="0" applyNumberFormat="1" applyFont="1" applyBorder="1"/>
    <xf numFmtId="166" fontId="11" fillId="0" borderId="23" xfId="0" applyNumberFormat="1" applyFont="1" applyBorder="1"/>
    <xf numFmtId="0" fontId="0" fillId="0" borderId="0" xfId="0" applyAlignment="1">
      <alignment horizontal="center"/>
    </xf>
    <xf numFmtId="0" fontId="0" fillId="0" borderId="0" xfId="0" applyAlignment="1">
      <alignment horizontal="center" vertical="center"/>
    </xf>
    <xf numFmtId="1" fontId="0" fillId="2" borderId="0" xfId="0" applyNumberFormat="1" applyFill="1" applyAlignment="1">
      <alignment horizontal="center" vertical="center"/>
    </xf>
    <xf numFmtId="1" fontId="0" fillId="0" borderId="0" xfId="0" applyNumberFormat="1" applyAlignment="1">
      <alignment horizontal="center" vertical="center"/>
    </xf>
    <xf numFmtId="0" fontId="13" fillId="0" borderId="0" xfId="3"/>
    <xf numFmtId="0" fontId="0" fillId="0" borderId="28" xfId="0" applyBorder="1"/>
    <xf numFmtId="0" fontId="0" fillId="0" borderId="29" xfId="0" applyBorder="1"/>
    <xf numFmtId="0" fontId="0" fillId="7" borderId="12" xfId="0" applyFill="1" applyBorder="1" applyAlignment="1">
      <alignment horizontal="center" vertical="center"/>
    </xf>
    <xf numFmtId="0" fontId="0" fillId="0" borderId="0" xfId="0" applyAlignment="1">
      <alignment horizontal="center"/>
    </xf>
    <xf numFmtId="0" fontId="1" fillId="0" borderId="12" xfId="0" applyFont="1" applyBorder="1" applyAlignment="1">
      <alignment horizontal="center"/>
    </xf>
    <xf numFmtId="0" fontId="1" fillId="0" borderId="32" xfId="0" applyFont="1" applyBorder="1"/>
    <xf numFmtId="0" fontId="0" fillId="0" borderId="0" xfId="0" applyFill="1" applyBorder="1" applyAlignment="1">
      <alignment horizontal="center" vertical="center"/>
    </xf>
    <xf numFmtId="0" fontId="0" fillId="7" borderId="30" xfId="0" applyFill="1" applyBorder="1" applyAlignment="1">
      <alignment horizontal="center" vertical="center"/>
    </xf>
    <xf numFmtId="0" fontId="1" fillId="0" borderId="32" xfId="0" applyFont="1" applyBorder="1" applyAlignment="1">
      <alignment horizontal="center"/>
    </xf>
    <xf numFmtId="9" fontId="1" fillId="7" borderId="12" xfId="1" applyFont="1" applyFill="1" applyBorder="1" applyAlignment="1">
      <alignment horizontal="center" vertical="center"/>
    </xf>
    <xf numFmtId="0" fontId="0" fillId="7" borderId="32" xfId="0" applyFill="1" applyBorder="1" applyAlignment="1">
      <alignment horizontal="center" vertical="center"/>
    </xf>
    <xf numFmtId="0" fontId="0" fillId="7" borderId="11" xfId="0" applyFill="1" applyBorder="1" applyAlignment="1">
      <alignment horizontal="center" vertical="center"/>
    </xf>
    <xf numFmtId="0" fontId="0" fillId="0" borderId="12" xfId="0" applyBorder="1"/>
    <xf numFmtId="0" fontId="0" fillId="0" borderId="32" xfId="0" applyBorder="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top" wrapText="1"/>
    </xf>
    <xf numFmtId="9" fontId="2" fillId="0" borderId="0" xfId="1" applyFont="1" applyAlignment="1">
      <alignment horizontal="center" vertical="center"/>
    </xf>
    <xf numFmtId="9" fontId="14" fillId="0" borderId="0" xfId="1" applyFont="1" applyFill="1" applyBorder="1" applyAlignment="1">
      <alignment horizontal="center" vertical="center"/>
    </xf>
    <xf numFmtId="9" fontId="1" fillId="7" borderId="16" xfId="1" applyFont="1" applyFill="1" applyBorder="1" applyAlignment="1">
      <alignment horizontal="center" vertical="center"/>
    </xf>
    <xf numFmtId="9" fontId="1" fillId="7" borderId="20" xfId="1" applyFont="1" applyFill="1" applyBorder="1" applyAlignment="1">
      <alignment horizontal="center" vertical="center"/>
    </xf>
    <xf numFmtId="0" fontId="0" fillId="8" borderId="12" xfId="0" applyFill="1" applyBorder="1" applyAlignment="1">
      <alignment horizontal="center" vertical="center"/>
    </xf>
    <xf numFmtId="0" fontId="0" fillId="8" borderId="32" xfId="0"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xf>
    <xf numFmtId="9" fontId="1" fillId="0" borderId="0" xfId="1" applyFont="1" applyFill="1" applyBorder="1" applyAlignment="1">
      <alignment horizontal="center" vertical="center"/>
    </xf>
    <xf numFmtId="0" fontId="0" fillId="0" borderId="0" xfId="0" applyBorder="1" applyAlignment="1">
      <alignment horizontal="left" vertical="top"/>
    </xf>
    <xf numFmtId="0" fontId="0" fillId="7" borderId="0" xfId="0" applyFill="1" applyBorder="1"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7" borderId="28" xfId="0" applyFill="1" applyBorder="1" applyAlignment="1">
      <alignment horizontal="center" vertical="center"/>
    </xf>
    <xf numFmtId="0" fontId="0" fillId="0" borderId="28" xfId="0" applyBorder="1" applyAlignment="1">
      <alignment horizontal="center"/>
    </xf>
    <xf numFmtId="0" fontId="0" fillId="0" borderId="28" xfId="0" applyBorder="1" applyAlignment="1">
      <alignment horizontal="left" vertical="top"/>
    </xf>
    <xf numFmtId="0" fontId="0" fillId="0" borderId="24" xfId="0" applyBorder="1" applyAlignment="1">
      <alignment horizontal="left" vertical="top"/>
    </xf>
    <xf numFmtId="0" fontId="0" fillId="0" borderId="24" xfId="0" applyBorder="1" applyAlignment="1">
      <alignment horizontal="center"/>
    </xf>
    <xf numFmtId="1" fontId="0" fillId="0" borderId="28" xfId="0" applyNumberFormat="1" applyBorder="1" applyAlignment="1">
      <alignment horizontal="center"/>
    </xf>
    <xf numFmtId="9" fontId="0" fillId="0" borderId="28" xfId="1" applyFont="1" applyBorder="1" applyAlignment="1">
      <alignment horizontal="center"/>
    </xf>
    <xf numFmtId="0" fontId="0" fillId="0" borderId="24" xfId="0" applyBorder="1"/>
    <xf numFmtId="1" fontId="0" fillId="0" borderId="24" xfId="0" applyNumberFormat="1" applyBorder="1" applyAlignment="1">
      <alignment horizontal="center"/>
    </xf>
    <xf numFmtId="9" fontId="0" fillId="0" borderId="24" xfId="1" applyFont="1" applyBorder="1" applyAlignment="1">
      <alignment horizontal="center"/>
    </xf>
    <xf numFmtId="0" fontId="1" fillId="0" borderId="30" xfId="0" applyFont="1" applyBorder="1" applyAlignment="1">
      <alignment horizontal="center" vertical="center"/>
    </xf>
    <xf numFmtId="1" fontId="0" fillId="0" borderId="29" xfId="0" applyNumberFormat="1" applyBorder="1" applyAlignment="1">
      <alignment horizontal="center"/>
    </xf>
    <xf numFmtId="0" fontId="1" fillId="0" borderId="12" xfId="0" applyFont="1" applyBorder="1" applyAlignment="1">
      <alignment horizontal="center"/>
    </xf>
    <xf numFmtId="0" fontId="1" fillId="0" borderId="30" xfId="0" applyFont="1" applyBorder="1" applyAlignment="1">
      <alignment horizontal="center"/>
    </xf>
    <xf numFmtId="0" fontId="1" fillId="0" borderId="11" xfId="0" applyFont="1" applyBorder="1" applyAlignment="1">
      <alignment horizontal="center"/>
    </xf>
    <xf numFmtId="0" fontId="0" fillId="0" borderId="16" xfId="0" applyBorder="1"/>
    <xf numFmtId="0" fontId="0" fillId="0" borderId="20" xfId="0" applyBorder="1"/>
    <xf numFmtId="1" fontId="0" fillId="0" borderId="16" xfId="0" applyNumberFormat="1" applyBorder="1" applyAlignment="1">
      <alignment horizontal="center"/>
    </xf>
    <xf numFmtId="0" fontId="0" fillId="0" borderId="29" xfId="0" applyBorder="1" applyAlignment="1">
      <alignment horizontal="center" wrapText="1"/>
    </xf>
    <xf numFmtId="9" fontId="1" fillId="7" borderId="30" xfId="1" applyFont="1" applyFill="1" applyBorder="1" applyAlignment="1">
      <alignment horizontal="center" vertical="center"/>
    </xf>
    <xf numFmtId="9" fontId="1" fillId="7" borderId="29" xfId="1" applyFont="1" applyFill="1" applyBorder="1" applyAlignment="1">
      <alignment horizontal="center" vertical="center"/>
    </xf>
    <xf numFmtId="9" fontId="1" fillId="7" borderId="33" xfId="1" applyFont="1" applyFill="1" applyBorder="1" applyAlignment="1">
      <alignment horizontal="center" vertical="center"/>
    </xf>
    <xf numFmtId="2" fontId="0" fillId="7" borderId="30" xfId="0" applyNumberFormat="1" applyFill="1" applyBorder="1" applyAlignment="1">
      <alignment horizontal="center" vertical="center"/>
    </xf>
    <xf numFmtId="2" fontId="0" fillId="7" borderId="29" xfId="0" applyNumberFormat="1" applyFill="1" applyBorder="1" applyAlignment="1">
      <alignment horizontal="center" vertical="center"/>
    </xf>
    <xf numFmtId="2" fontId="0" fillId="7" borderId="33" xfId="0" applyNumberFormat="1" applyFill="1" applyBorder="1" applyAlignment="1">
      <alignment horizontal="center" vertical="center"/>
    </xf>
    <xf numFmtId="0" fontId="0" fillId="7" borderId="29" xfId="0" applyFill="1" applyBorder="1" applyAlignment="1">
      <alignment horizontal="center" vertical="center"/>
    </xf>
    <xf numFmtId="0" fontId="0" fillId="7" borderId="33" xfId="0" applyFill="1" applyBorder="1" applyAlignment="1">
      <alignment horizontal="center" vertical="center"/>
    </xf>
    <xf numFmtId="0" fontId="0" fillId="0" borderId="30" xfId="0" applyFont="1" applyBorder="1"/>
    <xf numFmtId="0" fontId="0" fillId="0" borderId="29" xfId="0" applyFont="1" applyBorder="1"/>
    <xf numFmtId="0" fontId="0" fillId="0" borderId="33" xfId="0" applyFont="1" applyBorder="1"/>
    <xf numFmtId="0" fontId="1" fillId="7" borderId="33" xfId="0" applyFont="1" applyFill="1" applyBorder="1" applyAlignment="1">
      <alignment horizontal="center" vertical="center"/>
    </xf>
    <xf numFmtId="167" fontId="0" fillId="0" borderId="0" xfId="0" applyNumberFormat="1" applyBorder="1"/>
    <xf numFmtId="0" fontId="0" fillId="0" borderId="0" xfId="0" applyAlignment="1">
      <alignment horizontal="center"/>
    </xf>
    <xf numFmtId="0" fontId="1" fillId="0" borderId="0" xfId="0" applyFont="1" applyAlignment="1">
      <alignment horizontal="center"/>
    </xf>
    <xf numFmtId="0" fontId="1" fillId="0" borderId="0"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center"/>
    </xf>
    <xf numFmtId="165" fontId="11" fillId="0" borderId="35" xfId="0" applyNumberFormat="1" applyFont="1" applyBorder="1"/>
    <xf numFmtId="165" fontId="11" fillId="5" borderId="36" xfId="0" applyNumberFormat="1" applyFont="1" applyFill="1" applyBorder="1" applyAlignment="1">
      <alignment horizontal="right" vertical="center" wrapText="1"/>
    </xf>
    <xf numFmtId="165" fontId="11" fillId="5" borderId="37" xfId="0" applyNumberFormat="1" applyFont="1" applyFill="1" applyBorder="1" applyAlignment="1">
      <alignment horizontal="right" vertical="center" wrapText="1"/>
    </xf>
    <xf numFmtId="165" fontId="11" fillId="0" borderId="22" xfId="0" applyNumberFormat="1" applyFont="1" applyBorder="1"/>
    <xf numFmtId="0" fontId="8" fillId="0" borderId="0" xfId="0" applyFont="1" applyAlignment="1">
      <alignment horizontal="right"/>
    </xf>
    <xf numFmtId="165" fontId="11" fillId="0" borderId="36" xfId="0" applyNumberFormat="1" applyFont="1" applyBorder="1"/>
    <xf numFmtId="9" fontId="8" fillId="0" borderId="38" xfId="0" applyNumberFormat="1" applyFont="1" applyBorder="1"/>
    <xf numFmtId="165" fontId="11" fillId="0" borderId="37" xfId="0" applyNumberFormat="1" applyFont="1" applyBorder="1"/>
    <xf numFmtId="9" fontId="8" fillId="0" borderId="39" xfId="0" applyNumberFormat="1" applyFont="1" applyBorder="1"/>
    <xf numFmtId="0" fontId="8" fillId="0" borderId="40" xfId="0" applyFont="1" applyBorder="1" applyAlignment="1">
      <alignment horizontal="right"/>
    </xf>
    <xf numFmtId="165" fontId="11" fillId="5" borderId="35" xfId="0" applyNumberFormat="1" applyFont="1" applyFill="1" applyBorder="1" applyAlignment="1">
      <alignment horizontal="right" vertical="center" wrapText="1"/>
    </xf>
    <xf numFmtId="9" fontId="8" fillId="0" borderId="40" xfId="0" applyNumberFormat="1" applyFont="1" applyBorder="1"/>
    <xf numFmtId="0" fontId="0" fillId="0" borderId="0" xfId="0" applyAlignment="1">
      <alignment horizontal="center"/>
    </xf>
    <xf numFmtId="1" fontId="0" fillId="0" borderId="0" xfId="0" applyNumberFormat="1" applyBorder="1" applyAlignment="1">
      <alignment horizontal="center"/>
    </xf>
    <xf numFmtId="1" fontId="0" fillId="0" borderId="41" xfId="0" applyNumberFormat="1" applyBorder="1" applyAlignment="1">
      <alignment horizontal="center"/>
    </xf>
    <xf numFmtId="0" fontId="6" fillId="0" borderId="0" xfId="0" applyFont="1" applyBorder="1" applyAlignment="1">
      <alignment vertical="top" wrapText="1"/>
    </xf>
    <xf numFmtId="0" fontId="18" fillId="0" borderId="0" xfId="0" applyFont="1" applyFill="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top"/>
    </xf>
    <xf numFmtId="0" fontId="1" fillId="0" borderId="11" xfId="0" applyFont="1" applyBorder="1"/>
    <xf numFmtId="167" fontId="0" fillId="0" borderId="0" xfId="0" applyNumberFormat="1"/>
    <xf numFmtId="0" fontId="1" fillId="0" borderId="12" xfId="0" applyFont="1" applyBorder="1" applyAlignment="1">
      <alignment horizontal="center"/>
    </xf>
    <xf numFmtId="0" fontId="1" fillId="0" borderId="11" xfId="0" applyFont="1" applyBorder="1" applyAlignment="1">
      <alignment horizontal="center"/>
    </xf>
    <xf numFmtId="0" fontId="1" fillId="0" borderId="30" xfId="0" applyFont="1" applyBorder="1" applyAlignment="1">
      <alignment horizontal="center"/>
    </xf>
    <xf numFmtId="0" fontId="0" fillId="0" borderId="0" xfId="0" applyBorder="1" applyAlignment="1">
      <alignment vertical="center"/>
    </xf>
    <xf numFmtId="0" fontId="0" fillId="0" borderId="0" xfId="0" applyAlignment="1">
      <alignment horizontal="center"/>
    </xf>
    <xf numFmtId="167" fontId="0" fillId="3" borderId="32" xfId="4" applyNumberFormat="1" applyFont="1" applyFill="1" applyBorder="1" applyAlignment="1" applyProtection="1">
      <alignment horizontal="center" vertical="center"/>
      <protection hidden="1"/>
    </xf>
    <xf numFmtId="44" fontId="0" fillId="3" borderId="32" xfId="4" applyFont="1" applyFill="1" applyBorder="1" applyAlignment="1" applyProtection="1">
      <alignment horizontal="center" vertical="center"/>
      <protection hidden="1"/>
    </xf>
    <xf numFmtId="167" fontId="0" fillId="3" borderId="32" xfId="4" applyNumberFormat="1" applyFont="1" applyFill="1" applyBorder="1" applyAlignment="1" applyProtection="1">
      <alignment vertical="center"/>
      <protection hidden="1"/>
    </xf>
    <xf numFmtId="167" fontId="0" fillId="3" borderId="12" xfId="4" applyNumberFormat="1" applyFont="1" applyFill="1" applyBorder="1" applyAlignment="1" applyProtection="1">
      <alignment horizontal="center" vertical="center"/>
      <protection hidden="1"/>
    </xf>
    <xf numFmtId="167" fontId="0" fillId="3" borderId="30" xfId="4" applyNumberFormat="1" applyFont="1" applyFill="1" applyBorder="1" applyAlignment="1" applyProtection="1">
      <alignment horizontal="center" vertical="center"/>
      <protection hidden="1"/>
    </xf>
    <xf numFmtId="167" fontId="0" fillId="3" borderId="12" xfId="4" applyNumberFormat="1" applyFont="1" applyFill="1" applyBorder="1" applyAlignment="1" applyProtection="1">
      <alignment horizontal="center"/>
      <protection hidden="1"/>
    </xf>
    <xf numFmtId="167" fontId="2" fillId="3" borderId="30" xfId="4" applyNumberFormat="1" applyFont="1" applyFill="1" applyBorder="1" applyAlignment="1" applyProtection="1">
      <alignment horizontal="center" vertical="center"/>
      <protection hidden="1"/>
    </xf>
    <xf numFmtId="167" fontId="0" fillId="3" borderId="16" xfId="4" applyNumberFormat="1" applyFont="1" applyFill="1" applyBorder="1" applyAlignment="1" applyProtection="1">
      <alignment horizontal="center" vertical="center"/>
      <protection hidden="1"/>
    </xf>
    <xf numFmtId="167" fontId="0" fillId="3" borderId="29" xfId="4" applyNumberFormat="1" applyFont="1" applyFill="1" applyBorder="1" applyAlignment="1" applyProtection="1">
      <alignment horizontal="center" vertical="center"/>
      <protection hidden="1"/>
    </xf>
    <xf numFmtId="167" fontId="0" fillId="3" borderId="16" xfId="4" applyNumberFormat="1" applyFont="1" applyFill="1" applyBorder="1" applyAlignment="1" applyProtection="1">
      <alignment horizontal="center"/>
      <protection hidden="1"/>
    </xf>
    <xf numFmtId="167" fontId="0" fillId="3" borderId="20" xfId="4" applyNumberFormat="1" applyFont="1" applyFill="1" applyBorder="1" applyAlignment="1" applyProtection="1">
      <alignment horizontal="center" vertical="center"/>
      <protection hidden="1"/>
    </xf>
    <xf numFmtId="167" fontId="0" fillId="3" borderId="33" xfId="4" applyNumberFormat="1" applyFont="1" applyFill="1" applyBorder="1" applyAlignment="1" applyProtection="1">
      <alignment horizontal="center" vertical="center"/>
      <protection hidden="1"/>
    </xf>
    <xf numFmtId="0" fontId="0" fillId="3" borderId="20" xfId="0" applyFill="1" applyBorder="1" applyAlignment="1" applyProtection="1">
      <alignment horizontal="center"/>
      <protection hidden="1"/>
    </xf>
    <xf numFmtId="0" fontId="0" fillId="3" borderId="33" xfId="0" applyFill="1" applyBorder="1" applyAlignment="1" applyProtection="1">
      <alignment horizontal="center"/>
      <protection hidden="1"/>
    </xf>
    <xf numFmtId="167" fontId="1" fillId="3" borderId="33" xfId="4" applyNumberFormat="1" applyFont="1" applyFill="1" applyBorder="1" applyAlignment="1" applyProtection="1">
      <alignment horizontal="center"/>
      <protection hidden="1"/>
    </xf>
    <xf numFmtId="167" fontId="0" fillId="3" borderId="12" xfId="4" applyNumberFormat="1" applyFont="1" applyFill="1" applyBorder="1" applyAlignment="1" applyProtection="1">
      <protection hidden="1"/>
    </xf>
    <xf numFmtId="167" fontId="0" fillId="3" borderId="16" xfId="4" applyNumberFormat="1" applyFont="1" applyFill="1" applyBorder="1" applyAlignment="1" applyProtection="1">
      <protection hidden="1"/>
    </xf>
    <xf numFmtId="167" fontId="0" fillId="3" borderId="20" xfId="4" applyNumberFormat="1" applyFont="1" applyFill="1" applyBorder="1" applyAlignment="1" applyProtection="1">
      <protection hidden="1"/>
    </xf>
    <xf numFmtId="167" fontId="0" fillId="3" borderId="32" xfId="4" applyNumberFormat="1" applyFont="1" applyFill="1" applyBorder="1" applyProtection="1">
      <protection hidden="1"/>
    </xf>
    <xf numFmtId="167" fontId="0" fillId="3" borderId="32" xfId="4" applyNumberFormat="1" applyFont="1" applyFill="1" applyBorder="1" applyAlignment="1" applyProtection="1">
      <alignment horizontal="center"/>
      <protection hidden="1"/>
    </xf>
    <xf numFmtId="167" fontId="0" fillId="3" borderId="12" xfId="4" applyNumberFormat="1" applyFont="1" applyFill="1" applyBorder="1" applyProtection="1">
      <protection hidden="1"/>
    </xf>
    <xf numFmtId="167" fontId="0" fillId="3" borderId="16" xfId="4" applyNumberFormat="1" applyFont="1" applyFill="1" applyBorder="1" applyProtection="1">
      <protection hidden="1"/>
    </xf>
    <xf numFmtId="167" fontId="0" fillId="3" borderId="20" xfId="4" applyNumberFormat="1" applyFont="1" applyFill="1" applyBorder="1" applyProtection="1">
      <protection hidden="1"/>
    </xf>
    <xf numFmtId="167" fontId="0" fillId="3" borderId="11" xfId="4" applyNumberFormat="1" applyFont="1" applyFill="1" applyBorder="1" applyAlignment="1" applyProtection="1">
      <alignment horizontal="center"/>
      <protection hidden="1"/>
    </xf>
    <xf numFmtId="0" fontId="0" fillId="6" borderId="12" xfId="0" applyFont="1" applyFill="1" applyBorder="1" applyAlignment="1" applyProtection="1">
      <alignment horizontal="center" vertical="center"/>
      <protection locked="0"/>
    </xf>
    <xf numFmtId="0" fontId="0" fillId="6" borderId="32" xfId="0" applyFont="1" applyFill="1" applyBorder="1" applyAlignment="1" applyProtection="1">
      <alignment horizontal="center" vertical="center"/>
      <protection locked="0"/>
    </xf>
    <xf numFmtId="0" fontId="0" fillId="6" borderId="16"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9" fontId="2" fillId="6" borderId="32" xfId="1" applyFont="1" applyFill="1" applyBorder="1" applyAlignment="1" applyProtection="1">
      <alignment horizontal="center"/>
      <protection locked="0"/>
    </xf>
    <xf numFmtId="9" fontId="2" fillId="6" borderId="11" xfId="1" applyFont="1" applyFill="1" applyBorder="1" applyAlignment="1" applyProtection="1">
      <alignment horizontal="center"/>
      <protection locked="0"/>
    </xf>
    <xf numFmtId="0" fontId="0" fillId="6" borderId="11" xfId="0" applyFont="1"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9" fontId="0" fillId="6" borderId="32" xfId="0" applyNumberFormat="1" applyFont="1" applyFill="1" applyBorder="1" applyAlignment="1" applyProtection="1">
      <alignment horizontal="center" vertical="center"/>
      <protection locked="0"/>
    </xf>
    <xf numFmtId="9" fontId="2" fillId="6" borderId="32" xfId="1" applyFont="1" applyFill="1" applyBorder="1" applyAlignment="1" applyProtection="1">
      <alignment horizontal="center" vertical="center"/>
      <protection locked="0"/>
    </xf>
    <xf numFmtId="9" fontId="2" fillId="6" borderId="11" xfId="1" applyFont="1" applyFill="1" applyBorder="1" applyAlignment="1" applyProtection="1">
      <alignment horizontal="center" vertical="center"/>
      <protection locked="0"/>
    </xf>
    <xf numFmtId="9" fontId="0" fillId="6" borderId="32" xfId="0" applyNumberFormat="1"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9" fontId="0" fillId="6" borderId="32" xfId="1" applyFont="1" applyFill="1" applyBorder="1" applyAlignment="1" applyProtection="1">
      <alignment horizontal="center"/>
      <protection locked="0"/>
    </xf>
    <xf numFmtId="167" fontId="1" fillId="3" borderId="30" xfId="4" applyNumberFormat="1" applyFont="1" applyFill="1" applyBorder="1" applyAlignment="1" applyProtection="1">
      <alignment horizontal="center" vertical="center"/>
      <protection hidden="1"/>
    </xf>
    <xf numFmtId="167" fontId="0" fillId="0" borderId="0" xfId="4" applyNumberFormat="1" applyFont="1" applyFill="1" applyBorder="1" applyAlignment="1">
      <alignment horizontal="center" vertical="center"/>
    </xf>
    <xf numFmtId="0" fontId="0" fillId="0" borderId="0" xfId="0" applyProtection="1">
      <protection locked="0"/>
    </xf>
    <xf numFmtId="6" fontId="15" fillId="3" borderId="32" xfId="4" applyNumberFormat="1" applyFont="1" applyFill="1" applyBorder="1" applyProtection="1">
      <protection hidden="1"/>
    </xf>
    <xf numFmtId="6" fontId="15" fillId="10" borderId="32" xfId="4" applyNumberFormat="1" applyFont="1" applyFill="1" applyBorder="1" applyProtection="1">
      <protection hidden="1"/>
    </xf>
    <xf numFmtId="0" fontId="18" fillId="9" borderId="0" xfId="0" applyFont="1" applyFill="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0" fillId="0" borderId="0" xfId="0" applyAlignment="1">
      <alignment horizontal="center"/>
    </xf>
    <xf numFmtId="0" fontId="18" fillId="4" borderId="0" xfId="0"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41" xfId="0" applyBorder="1" applyAlignment="1">
      <alignment horizontal="center"/>
    </xf>
    <xf numFmtId="0" fontId="0" fillId="0" borderId="28" xfId="0" applyBorder="1" applyAlignment="1">
      <alignment horizontal="center"/>
    </xf>
    <xf numFmtId="0" fontId="0" fillId="0" borderId="12" xfId="0" applyBorder="1" applyAlignment="1">
      <alignment horizontal="center"/>
    </xf>
    <xf numFmtId="0" fontId="0" fillId="0" borderId="20" xfId="0" applyBorder="1" applyAlignment="1">
      <alignment horizontal="center"/>
    </xf>
    <xf numFmtId="0" fontId="0" fillId="0" borderId="42" xfId="0" applyBorder="1" applyAlignment="1">
      <alignment horizontal="center"/>
    </xf>
    <xf numFmtId="0" fontId="1" fillId="0" borderId="41" xfId="0" applyFont="1" applyBorder="1" applyAlignment="1">
      <alignment horizontal="center" wrapText="1"/>
    </xf>
    <xf numFmtId="0" fontId="1" fillId="0" borderId="0" xfId="0" applyFont="1" applyBorder="1" applyAlignment="1">
      <alignment horizontal="center" wrapText="1"/>
    </xf>
    <xf numFmtId="0" fontId="1" fillId="0" borderId="12" xfId="0" applyFont="1" applyBorder="1" applyAlignment="1">
      <alignment horizontal="center" wrapText="1"/>
    </xf>
    <xf numFmtId="0" fontId="1" fillId="0" borderId="20" xfId="0" applyFont="1" applyBorder="1" applyAlignment="1">
      <alignment horizont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2" xfId="0" applyFont="1" applyBorder="1" applyAlignment="1">
      <alignment horizontal="center" vertical="center" wrapText="1"/>
    </xf>
    <xf numFmtId="0" fontId="0" fillId="6" borderId="30" xfId="0" applyFont="1" applyFill="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1" fillId="0" borderId="16" xfId="0" applyFont="1" applyBorder="1" applyAlignment="1">
      <alignment horizont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9" fontId="2" fillId="6" borderId="30" xfId="1" applyFont="1" applyFill="1" applyBorder="1" applyAlignment="1" applyProtection="1">
      <alignment horizontal="center" vertical="center" wrapText="1"/>
      <protection locked="0"/>
    </xf>
    <xf numFmtId="9" fontId="2" fillId="6" borderId="29" xfId="1" applyFont="1" applyFill="1" applyBorder="1" applyAlignment="1" applyProtection="1">
      <alignment horizontal="center" vertical="center" wrapText="1"/>
      <protection locked="0"/>
    </xf>
    <xf numFmtId="9" fontId="2" fillId="6" borderId="33" xfId="1" applyFont="1" applyFill="1" applyBorder="1" applyAlignment="1" applyProtection="1">
      <alignment horizontal="center" vertical="center" wrapText="1"/>
      <protection locked="0"/>
    </xf>
    <xf numFmtId="167" fontId="1" fillId="3" borderId="30" xfId="4" applyNumberFormat="1" applyFont="1" applyFill="1" applyBorder="1" applyAlignment="1" applyProtection="1">
      <alignment horizontal="center" vertical="center"/>
      <protection hidden="1"/>
    </xf>
    <xf numFmtId="167" fontId="1" fillId="3" borderId="29" xfId="4" applyNumberFormat="1" applyFont="1" applyFill="1" applyBorder="1" applyAlignment="1" applyProtection="1">
      <alignment horizontal="center" vertical="center"/>
      <protection hidden="1"/>
    </xf>
    <xf numFmtId="167" fontId="1" fillId="3" borderId="33" xfId="4" applyNumberFormat="1" applyFont="1" applyFill="1" applyBorder="1" applyAlignment="1" applyProtection="1">
      <alignment horizontal="center" vertical="center"/>
      <protection hidden="1"/>
    </xf>
    <xf numFmtId="1" fontId="1" fillId="0" borderId="12" xfId="1" applyNumberFormat="1" applyFont="1" applyBorder="1" applyAlignment="1">
      <alignment horizontal="center" vertical="center" wrapText="1"/>
    </xf>
    <xf numFmtId="1" fontId="1" fillId="0" borderId="16" xfId="1" applyNumberFormat="1" applyFont="1" applyBorder="1" applyAlignment="1">
      <alignment horizontal="center" vertical="center" wrapText="1"/>
    </xf>
    <xf numFmtId="0" fontId="1" fillId="0" borderId="28" xfId="0" applyFont="1" applyBorder="1" applyAlignment="1">
      <alignment horizontal="center"/>
    </xf>
    <xf numFmtId="0" fontId="1" fillId="0" borderId="30" xfId="0" applyFont="1" applyBorder="1" applyAlignment="1">
      <alignment horizontal="center"/>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16" xfId="0" applyFont="1" applyBorder="1" applyAlignment="1">
      <alignment horizontal="center" vertical="center" wrapText="1"/>
    </xf>
    <xf numFmtId="0" fontId="1" fillId="0" borderId="0" xfId="0" applyFont="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0" fillId="0" borderId="0" xfId="0" applyBorder="1" applyAlignment="1">
      <alignment horizontal="left" vertical="top" wrapText="1"/>
    </xf>
    <xf numFmtId="0" fontId="0" fillId="0" borderId="0" xfId="0" applyBorder="1" applyAlignment="1">
      <alignment horizontal="left" wrapText="1"/>
    </xf>
    <xf numFmtId="9" fontId="2" fillId="6" borderId="12" xfId="1" applyFont="1" applyFill="1" applyBorder="1" applyAlignment="1" applyProtection="1">
      <alignment horizontal="center" vertical="center"/>
      <protection locked="0"/>
    </xf>
    <xf numFmtId="9" fontId="2" fillId="6" borderId="16" xfId="1" applyFont="1" applyFill="1" applyBorder="1" applyAlignment="1" applyProtection="1">
      <alignment horizontal="center" vertical="center"/>
      <protection locked="0"/>
    </xf>
    <xf numFmtId="9" fontId="2" fillId="6" borderId="20" xfId="1" applyFont="1" applyFill="1" applyBorder="1" applyAlignment="1" applyProtection="1">
      <alignment horizontal="center" vertical="center"/>
      <protection locked="0"/>
    </xf>
    <xf numFmtId="0" fontId="1" fillId="0" borderId="30" xfId="0" applyFont="1" applyBorder="1" applyAlignment="1">
      <alignment horizontal="center" wrapText="1"/>
    </xf>
    <xf numFmtId="0" fontId="1" fillId="0" borderId="29" xfId="0" applyFont="1" applyBorder="1" applyAlignment="1">
      <alignment horizontal="center" wrapText="1"/>
    </xf>
    <xf numFmtId="0" fontId="1" fillId="0" borderId="33" xfId="0" applyFont="1" applyBorder="1" applyAlignment="1">
      <alignment horizontal="center" vertical="center" wrapText="1"/>
    </xf>
    <xf numFmtId="167" fontId="1" fillId="3" borderId="12" xfId="4" applyNumberFormat="1" applyFont="1" applyFill="1" applyBorder="1" applyAlignment="1" applyProtection="1">
      <alignment horizontal="center" vertical="center"/>
      <protection hidden="1"/>
    </xf>
    <xf numFmtId="167" fontId="1" fillId="3" borderId="16" xfId="4" applyNumberFormat="1" applyFont="1" applyFill="1" applyBorder="1" applyAlignment="1" applyProtection="1">
      <alignment horizontal="center" vertical="center"/>
      <protection hidden="1"/>
    </xf>
    <xf numFmtId="167" fontId="1" fillId="3" borderId="20" xfId="4" applyNumberFormat="1" applyFont="1" applyFill="1" applyBorder="1" applyAlignment="1" applyProtection="1">
      <alignment horizontal="center" vertical="center"/>
      <protection hidden="1"/>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6" fontId="15" fillId="3" borderId="12" xfId="4" applyNumberFormat="1" applyFont="1" applyFill="1" applyBorder="1" applyAlignment="1" applyProtection="1">
      <alignment horizontal="center" vertical="center" wrapText="1"/>
      <protection hidden="1"/>
    </xf>
    <xf numFmtId="6" fontId="15" fillId="3" borderId="16" xfId="4" applyNumberFormat="1" applyFont="1" applyFill="1" applyBorder="1" applyAlignment="1" applyProtection="1">
      <alignment horizontal="center" vertical="center" wrapText="1"/>
      <protection hidden="1"/>
    </xf>
    <xf numFmtId="6" fontId="15" fillId="3" borderId="20" xfId="4" applyNumberFormat="1" applyFont="1" applyFill="1" applyBorder="1" applyAlignment="1" applyProtection="1">
      <alignment horizontal="center" vertical="center" wrapText="1"/>
      <protection hidden="1"/>
    </xf>
    <xf numFmtId="0" fontId="0" fillId="6" borderId="16" xfId="0" applyFont="1" applyFill="1" applyBorder="1" applyAlignment="1" applyProtection="1">
      <alignment horizontal="center" vertical="center"/>
      <protection locked="0"/>
    </xf>
    <xf numFmtId="0" fontId="0" fillId="6" borderId="30" xfId="0" applyFont="1" applyFill="1" applyBorder="1" applyAlignment="1" applyProtection="1">
      <alignment horizontal="center" vertical="center" wrapText="1"/>
      <protection locked="0"/>
    </xf>
    <xf numFmtId="0" fontId="0" fillId="6" borderId="29" xfId="0" applyFont="1" applyFill="1" applyBorder="1" applyAlignment="1" applyProtection="1">
      <alignment horizontal="center" vertical="center" wrapText="1"/>
      <protection locked="0"/>
    </xf>
    <xf numFmtId="0" fontId="0" fillId="6" borderId="33" xfId="0" applyFont="1" applyFill="1" applyBorder="1" applyAlignment="1" applyProtection="1">
      <alignment horizontal="center" vertical="center" wrapText="1"/>
      <protection locked="0"/>
    </xf>
    <xf numFmtId="0" fontId="1" fillId="0" borderId="12" xfId="0" applyFont="1" applyBorder="1" applyAlignment="1">
      <alignment horizontal="center"/>
    </xf>
    <xf numFmtId="0" fontId="1" fillId="0" borderId="20" xfId="0" applyFont="1" applyBorder="1" applyAlignment="1">
      <alignment horizont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lignment horizontal="center"/>
    </xf>
    <xf numFmtId="0" fontId="16" fillId="0" borderId="0" xfId="0" applyFont="1" applyAlignment="1">
      <alignment horizontal="center" vertical="center"/>
    </xf>
    <xf numFmtId="0" fontId="16" fillId="0" borderId="0" xfId="0" applyFont="1" applyAlignment="1">
      <alignment horizontal="center" vertical="center" wrapText="1"/>
    </xf>
    <xf numFmtId="0" fontId="0" fillId="6" borderId="12" xfId="0" applyFont="1" applyFill="1" applyBorder="1" applyAlignment="1" applyProtection="1">
      <alignment horizontal="center" vertical="center" wrapText="1"/>
      <protection locked="0"/>
    </xf>
    <xf numFmtId="0" fontId="0" fillId="6" borderId="20" xfId="0" applyFont="1" applyFill="1" applyBorder="1" applyAlignment="1" applyProtection="1">
      <alignment horizontal="center" vertical="center" wrapText="1"/>
      <protection locked="0"/>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0" fillId="0" borderId="31"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164" fontId="1" fillId="0" borderId="12" xfId="0" applyNumberFormat="1" applyFont="1" applyFill="1" applyBorder="1" applyAlignment="1">
      <alignment horizontal="center" wrapText="1"/>
    </xf>
    <xf numFmtId="164" fontId="1" fillId="0" borderId="20" xfId="0" applyNumberFormat="1" applyFont="1" applyFill="1" applyBorder="1" applyAlignment="1">
      <alignment horizontal="center" wrapText="1"/>
    </xf>
    <xf numFmtId="0" fontId="0" fillId="6" borderId="12" xfId="0"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12" xfId="0"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0" fontId="10" fillId="0" borderId="10" xfId="0" applyFont="1" applyBorder="1" applyAlignment="1">
      <alignment horizontal="center"/>
    </xf>
    <xf numFmtId="0" fontId="10" fillId="0" borderId="11" xfId="0" applyFont="1" applyBorder="1" applyAlignment="1">
      <alignment horizontal="center"/>
    </xf>
    <xf numFmtId="0" fontId="10" fillId="0" borderId="24" xfId="0" applyFont="1" applyBorder="1" applyAlignment="1">
      <alignment horizontal="center"/>
    </xf>
  </cellXfs>
  <cellStyles count="5">
    <cellStyle name="Currency" xfId="4" builtinId="4"/>
    <cellStyle name="Hyperlink" xfId="3" builtinId="8"/>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39159</xdr:colOff>
      <xdr:row>2</xdr:row>
      <xdr:rowOff>93135</xdr:rowOff>
    </xdr:from>
    <xdr:to>
      <xdr:col>18</xdr:col>
      <xdr:colOff>482600</xdr:colOff>
      <xdr:row>6</xdr:row>
      <xdr:rowOff>160867</xdr:rowOff>
    </xdr:to>
    <xdr:pic>
      <xdr:nvPicPr>
        <xdr:cNvPr id="3" name="Picture 2"/>
        <xdr:cNvPicPr>
          <a:picLocks noChangeAspect="1"/>
        </xdr:cNvPicPr>
      </xdr:nvPicPr>
      <xdr:blipFill>
        <a:blip xmlns:r="http://schemas.openxmlformats.org/officeDocument/2006/relationships" r:embed="rId1"/>
        <a:stretch>
          <a:fillRect/>
        </a:stretch>
      </xdr:blipFill>
      <xdr:spPr>
        <a:xfrm>
          <a:off x="9183159" y="558802"/>
          <a:ext cx="2272241" cy="846665"/>
        </a:xfrm>
        <a:prstGeom prst="rect">
          <a:avLst/>
        </a:prstGeom>
      </xdr:spPr>
    </xdr:pic>
    <xdr:clientData/>
  </xdr:twoCellAnchor>
  <xdr:twoCellAnchor editAs="oneCell">
    <xdr:from>
      <xdr:col>18</xdr:col>
      <xdr:colOff>555625</xdr:colOff>
      <xdr:row>1</xdr:row>
      <xdr:rowOff>189442</xdr:rowOff>
    </xdr:from>
    <xdr:to>
      <xdr:col>21</xdr:col>
      <xdr:colOff>508001</xdr:colOff>
      <xdr:row>6</xdr:row>
      <xdr:rowOff>186268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528425" y="443442"/>
          <a:ext cx="1781176" cy="987426"/>
        </a:xfrm>
        <a:prstGeom prst="rect">
          <a:avLst/>
        </a:prstGeom>
      </xdr:spPr>
    </xdr:pic>
    <xdr:clientData/>
  </xdr:twoCellAnchor>
  <xdr:twoCellAnchor editAs="oneCell">
    <xdr:from>
      <xdr:col>0</xdr:col>
      <xdr:colOff>99060</xdr:colOff>
      <xdr:row>1</xdr:row>
      <xdr:rowOff>60960</xdr:rowOff>
    </xdr:from>
    <xdr:to>
      <xdr:col>3</xdr:col>
      <xdr:colOff>597618</xdr:colOff>
      <xdr:row>5</xdr:row>
      <xdr:rowOff>111759</xdr:rowOff>
    </xdr:to>
    <xdr:pic>
      <xdr:nvPicPr>
        <xdr:cNvPr id="7" name="Picture 6"/>
        <xdr:cNvPicPr>
          <a:picLocks noChangeAspect="1"/>
        </xdr:cNvPicPr>
      </xdr:nvPicPr>
      <xdr:blipFill>
        <a:blip xmlns:r="http://schemas.openxmlformats.org/officeDocument/2006/relationships" r:embed="rId3"/>
        <a:stretch>
          <a:fillRect/>
        </a:stretch>
      </xdr:blipFill>
      <xdr:spPr>
        <a:xfrm>
          <a:off x="99060" y="243840"/>
          <a:ext cx="2327358" cy="830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rdeninsurance.com/Data/Carden_CitrusTree_SalesDataSheet.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deninsurance.com/Data/Carden_CitrusTree_SalesData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ardeninsurance.com/Data/Carden_CitrusTree_SalesDataSheet.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ardeninsurance.com/Data/Carden_CitrusTree_SalesDataSheet.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zoomScale="90" zoomScaleNormal="90" workbookViewId="0">
      <selection activeCell="M30" sqref="M30"/>
    </sheetView>
  </sheetViews>
  <sheetFormatPr defaultRowHeight="14.4" x14ac:dyDescent="0.3"/>
  <sheetData>
    <row r="1" spans="1:31" ht="19.8" customHeight="1" thickBot="1" x14ac:dyDescent="0.35"/>
    <row r="2" spans="1:31" ht="16.8" customHeight="1" x14ac:dyDescent="0.3">
      <c r="A2" s="209"/>
      <c r="B2" s="209"/>
      <c r="C2" s="209"/>
      <c r="D2" s="209"/>
      <c r="P2" s="200" t="s">
        <v>12</v>
      </c>
      <c r="Q2" s="201"/>
      <c r="R2" s="201"/>
      <c r="S2" s="201"/>
      <c r="T2" s="201"/>
      <c r="U2" s="201"/>
      <c r="V2" s="202"/>
      <c r="X2" s="137"/>
      <c r="Y2" s="137"/>
    </row>
    <row r="3" spans="1:31" ht="15" customHeight="1" thickBot="1" x14ac:dyDescent="0.35">
      <c r="A3" s="209"/>
      <c r="B3" s="209"/>
      <c r="C3" s="209"/>
      <c r="D3" s="209"/>
      <c r="P3" s="203"/>
      <c r="Q3" s="204"/>
      <c r="R3" s="204"/>
      <c r="S3" s="204"/>
      <c r="T3" s="204"/>
      <c r="U3" s="204"/>
      <c r="V3" s="205"/>
      <c r="X3" s="137"/>
      <c r="Y3" s="137"/>
    </row>
    <row r="4" spans="1:31" ht="15" customHeight="1" x14ac:dyDescent="0.3">
      <c r="A4" s="209"/>
      <c r="B4" s="209"/>
      <c r="C4" s="209"/>
      <c r="D4" s="209"/>
      <c r="F4" s="191" t="s">
        <v>38</v>
      </c>
      <c r="G4" s="192"/>
      <c r="H4" s="192"/>
      <c r="I4" s="192"/>
      <c r="J4" s="192"/>
      <c r="K4" s="192"/>
      <c r="L4" s="192"/>
      <c r="M4" s="192"/>
      <c r="N4" s="193"/>
      <c r="O4" s="136"/>
      <c r="P4" s="203"/>
      <c r="Q4" s="204"/>
      <c r="R4" s="204"/>
      <c r="S4" s="204"/>
      <c r="T4" s="204"/>
      <c r="U4" s="204"/>
      <c r="V4" s="205"/>
      <c r="X4" s="137"/>
      <c r="Y4" s="137"/>
    </row>
    <row r="5" spans="1:31" ht="15" customHeight="1" x14ac:dyDescent="0.3">
      <c r="A5" s="209"/>
      <c r="B5" s="209"/>
      <c r="C5" s="209"/>
      <c r="D5" s="209"/>
      <c r="F5" s="194"/>
      <c r="G5" s="195"/>
      <c r="H5" s="195"/>
      <c r="I5" s="195"/>
      <c r="J5" s="195"/>
      <c r="K5" s="195"/>
      <c r="L5" s="195"/>
      <c r="M5" s="195"/>
      <c r="N5" s="196"/>
      <c r="O5" s="136"/>
      <c r="P5" s="203"/>
      <c r="Q5" s="204"/>
      <c r="R5" s="204"/>
      <c r="S5" s="204"/>
      <c r="T5" s="204"/>
      <c r="U5" s="204"/>
      <c r="V5" s="205"/>
      <c r="X5" s="137"/>
      <c r="Y5" s="137"/>
    </row>
    <row r="6" spans="1:31" ht="15" customHeight="1" thickBot="1" x14ac:dyDescent="0.35">
      <c r="A6" s="209"/>
      <c r="B6" s="209"/>
      <c r="C6" s="209"/>
      <c r="D6" s="209"/>
      <c r="F6" s="197"/>
      <c r="G6" s="198"/>
      <c r="H6" s="198"/>
      <c r="I6" s="198"/>
      <c r="J6" s="198"/>
      <c r="K6" s="198"/>
      <c r="L6" s="198"/>
      <c r="M6" s="198"/>
      <c r="N6" s="199"/>
      <c r="O6" s="136"/>
      <c r="P6" s="203"/>
      <c r="Q6" s="204"/>
      <c r="R6" s="204"/>
      <c r="S6" s="204"/>
      <c r="T6" s="204"/>
      <c r="U6" s="204"/>
      <c r="V6" s="205"/>
      <c r="X6" s="137"/>
      <c r="Y6" s="137"/>
    </row>
    <row r="7" spans="1:31" ht="15" customHeight="1" thickBot="1" x14ac:dyDescent="0.35">
      <c r="A7" s="129"/>
      <c r="B7" s="129"/>
      <c r="C7" s="129"/>
      <c r="D7" s="129"/>
      <c r="F7" s="135"/>
      <c r="G7" s="135"/>
      <c r="H7" s="135"/>
      <c r="I7" s="135"/>
      <c r="J7" s="135"/>
      <c r="K7" s="135"/>
      <c r="L7" s="135"/>
      <c r="M7" s="135"/>
      <c r="N7" s="135"/>
      <c r="O7" s="135"/>
      <c r="P7" s="206"/>
      <c r="Q7" s="207"/>
      <c r="R7" s="207"/>
      <c r="S7" s="207"/>
      <c r="T7" s="207"/>
      <c r="U7" s="207"/>
      <c r="V7" s="208"/>
      <c r="X7" s="137"/>
      <c r="Y7" s="137"/>
    </row>
    <row r="8" spans="1:31" x14ac:dyDescent="0.3">
      <c r="G8" s="8"/>
      <c r="H8" s="8"/>
      <c r="I8" s="8"/>
      <c r="J8" s="8"/>
      <c r="K8" s="8"/>
      <c r="L8" s="8"/>
      <c r="M8" s="8"/>
      <c r="W8" s="8"/>
      <c r="X8" s="137"/>
      <c r="Y8" s="137"/>
      <c r="Z8" s="137"/>
      <c r="AA8" s="137"/>
      <c r="AB8" s="137"/>
      <c r="AC8" s="137"/>
      <c r="AD8" s="137"/>
      <c r="AE8" s="137"/>
    </row>
    <row r="9" spans="1:31" x14ac:dyDescent="0.3">
      <c r="G9" s="8"/>
      <c r="H9" s="8"/>
      <c r="I9" s="8"/>
      <c r="J9" s="8"/>
      <c r="K9" s="8"/>
      <c r="L9" s="8"/>
      <c r="M9" s="8"/>
      <c r="W9" s="137"/>
      <c r="X9" s="137"/>
      <c r="Y9" s="137"/>
      <c r="Z9" s="137"/>
      <c r="AA9" s="137"/>
      <c r="AB9" s="137"/>
      <c r="AC9" s="137"/>
      <c r="AD9" s="137"/>
      <c r="AE9" s="137"/>
    </row>
    <row r="10" spans="1:31" ht="14.4" customHeight="1" x14ac:dyDescent="0.3">
      <c r="C10" s="210" t="s">
        <v>36</v>
      </c>
      <c r="D10" s="210"/>
      <c r="E10" s="210"/>
      <c r="F10" s="210"/>
      <c r="G10" s="210"/>
      <c r="H10" s="210"/>
      <c r="I10" s="210"/>
      <c r="J10" s="210"/>
      <c r="K10" s="210"/>
      <c r="L10" s="210"/>
      <c r="M10" s="210"/>
      <c r="N10" s="210"/>
      <c r="O10" s="210"/>
      <c r="P10" s="210"/>
      <c r="Q10" s="210"/>
      <c r="R10" s="210"/>
      <c r="S10" s="210"/>
      <c r="T10" s="210"/>
      <c r="U10" s="210"/>
      <c r="W10" s="137"/>
      <c r="X10" s="137"/>
      <c r="Y10" s="137"/>
      <c r="Z10" s="137"/>
      <c r="AA10" s="137"/>
      <c r="AB10" s="137"/>
      <c r="AC10" s="137"/>
      <c r="AD10" s="137"/>
      <c r="AE10" s="137"/>
    </row>
    <row r="11" spans="1:31" ht="14.4" customHeight="1" x14ac:dyDescent="0.3">
      <c r="C11" s="210"/>
      <c r="D11" s="210"/>
      <c r="E11" s="210"/>
      <c r="F11" s="210"/>
      <c r="G11" s="210"/>
      <c r="H11" s="210"/>
      <c r="I11" s="210"/>
      <c r="J11" s="210"/>
      <c r="K11" s="210"/>
      <c r="L11" s="210"/>
      <c r="M11" s="210"/>
      <c r="N11" s="210"/>
      <c r="O11" s="210"/>
      <c r="P11" s="210"/>
      <c r="Q11" s="210"/>
      <c r="R11" s="210"/>
      <c r="S11" s="210"/>
      <c r="T11" s="210"/>
      <c r="U11" s="210"/>
    </row>
    <row r="12" spans="1:31" ht="14.4" customHeight="1" x14ac:dyDescent="0.3">
      <c r="C12" s="210"/>
      <c r="D12" s="210"/>
      <c r="E12" s="210"/>
      <c r="F12" s="210"/>
      <c r="G12" s="210"/>
      <c r="H12" s="210"/>
      <c r="I12" s="210"/>
      <c r="J12" s="210"/>
      <c r="K12" s="210"/>
      <c r="L12" s="210"/>
      <c r="M12" s="210"/>
      <c r="N12" s="210"/>
      <c r="O12" s="210"/>
      <c r="P12" s="210"/>
      <c r="Q12" s="210"/>
      <c r="R12" s="210"/>
      <c r="S12" s="210"/>
      <c r="T12" s="210"/>
      <c r="U12" s="210"/>
    </row>
    <row r="13" spans="1:31" ht="15" customHeight="1" x14ac:dyDescent="0.3">
      <c r="C13" s="210"/>
      <c r="D13" s="210"/>
      <c r="E13" s="210"/>
      <c r="F13" s="210"/>
      <c r="G13" s="210"/>
      <c r="H13" s="210"/>
      <c r="I13" s="210"/>
      <c r="J13" s="210"/>
      <c r="K13" s="210"/>
      <c r="L13" s="210"/>
      <c r="M13" s="210"/>
      <c r="N13" s="210"/>
      <c r="O13" s="210"/>
      <c r="P13" s="210"/>
      <c r="Q13" s="210"/>
      <c r="R13" s="210"/>
      <c r="S13" s="210"/>
      <c r="T13" s="210"/>
      <c r="U13" s="210"/>
    </row>
    <row r="14" spans="1:31" ht="15" customHeight="1" x14ac:dyDescent="0.3">
      <c r="C14" s="210"/>
      <c r="D14" s="210"/>
      <c r="E14" s="210"/>
      <c r="F14" s="210"/>
      <c r="G14" s="210"/>
      <c r="H14" s="210"/>
      <c r="I14" s="210"/>
      <c r="J14" s="210"/>
      <c r="K14" s="210"/>
      <c r="L14" s="210"/>
      <c r="M14" s="210"/>
      <c r="N14" s="210"/>
      <c r="O14" s="210"/>
      <c r="P14" s="210"/>
      <c r="Q14" s="210"/>
      <c r="R14" s="210"/>
      <c r="S14" s="210"/>
      <c r="T14" s="210"/>
      <c r="U14" s="210"/>
    </row>
    <row r="15" spans="1:31" ht="15" customHeight="1" x14ac:dyDescent="0.3">
      <c r="C15" s="210"/>
      <c r="D15" s="210"/>
      <c r="E15" s="210"/>
      <c r="F15" s="210"/>
      <c r="G15" s="210"/>
      <c r="H15" s="210"/>
      <c r="I15" s="210"/>
      <c r="J15" s="210"/>
      <c r="K15" s="210"/>
      <c r="L15" s="210"/>
      <c r="M15" s="210"/>
      <c r="N15" s="210"/>
      <c r="O15" s="210"/>
      <c r="P15" s="210"/>
      <c r="Q15" s="210"/>
      <c r="R15" s="210"/>
      <c r="S15" s="210"/>
      <c r="T15" s="210"/>
      <c r="U15" s="210"/>
    </row>
    <row r="16" spans="1:31" ht="15" customHeight="1" x14ac:dyDescent="0.3">
      <c r="C16" s="133"/>
      <c r="D16" s="133"/>
      <c r="E16" s="133"/>
      <c r="F16" s="133"/>
      <c r="G16" s="133"/>
      <c r="H16" s="133"/>
      <c r="I16" s="133"/>
      <c r="J16" s="133"/>
      <c r="K16" s="133"/>
      <c r="L16" s="133"/>
      <c r="M16" s="133"/>
      <c r="N16" s="133"/>
      <c r="O16" s="133"/>
      <c r="P16" s="133"/>
      <c r="Q16" s="133"/>
      <c r="R16" s="133"/>
      <c r="S16" s="133"/>
      <c r="T16" s="133"/>
      <c r="U16" s="133"/>
    </row>
    <row r="17" spans="3:21" ht="15" customHeight="1" x14ac:dyDescent="0.3">
      <c r="C17" s="211" t="s">
        <v>37</v>
      </c>
      <c r="D17" s="211"/>
      <c r="E17" s="211"/>
      <c r="F17" s="211"/>
      <c r="G17" s="211"/>
      <c r="H17" s="211"/>
      <c r="I17" s="211"/>
      <c r="J17" s="211"/>
      <c r="K17" s="211"/>
      <c r="L17" s="211"/>
      <c r="M17" s="211"/>
      <c r="N17" s="211"/>
      <c r="O17" s="211"/>
      <c r="P17" s="211"/>
      <c r="Q17" s="211"/>
      <c r="R17" s="211"/>
      <c r="S17" s="211"/>
      <c r="T17" s="211"/>
      <c r="U17" s="211"/>
    </row>
    <row r="18" spans="3:21" ht="14.4" customHeight="1" x14ac:dyDescent="0.3">
      <c r="C18" s="211"/>
      <c r="D18" s="211"/>
      <c r="E18" s="211"/>
      <c r="F18" s="211"/>
      <c r="G18" s="211"/>
      <c r="H18" s="211"/>
      <c r="I18" s="211"/>
      <c r="J18" s="211"/>
      <c r="K18" s="211"/>
      <c r="L18" s="211"/>
      <c r="M18" s="211"/>
      <c r="N18" s="211"/>
      <c r="O18" s="211"/>
      <c r="P18" s="211"/>
      <c r="Q18" s="211"/>
      <c r="R18" s="211"/>
      <c r="S18" s="211"/>
      <c r="T18" s="211"/>
      <c r="U18" s="211"/>
    </row>
    <row r="19" spans="3:21" ht="14.4" customHeight="1" x14ac:dyDescent="0.3">
      <c r="C19" s="211"/>
      <c r="D19" s="211"/>
      <c r="E19" s="211"/>
      <c r="F19" s="211"/>
      <c r="G19" s="211"/>
      <c r="H19" s="211"/>
      <c r="I19" s="211"/>
      <c r="J19" s="211"/>
      <c r="K19" s="211"/>
      <c r="L19" s="211"/>
      <c r="M19" s="211"/>
      <c r="N19" s="211"/>
      <c r="O19" s="211"/>
      <c r="P19" s="211"/>
      <c r="Q19" s="211"/>
      <c r="R19" s="211"/>
      <c r="S19" s="211"/>
      <c r="T19" s="211"/>
      <c r="U19" s="211"/>
    </row>
    <row r="20" spans="3:21" ht="14.4" customHeight="1" x14ac:dyDescent="0.3">
      <c r="C20" s="211"/>
      <c r="D20" s="211"/>
      <c r="E20" s="211"/>
      <c r="F20" s="211"/>
      <c r="G20" s="211"/>
      <c r="H20" s="211"/>
      <c r="I20" s="211"/>
      <c r="J20" s="211"/>
      <c r="K20" s="211"/>
      <c r="L20" s="211"/>
      <c r="M20" s="211"/>
      <c r="N20" s="211"/>
      <c r="O20" s="211"/>
      <c r="P20" s="211"/>
      <c r="Q20" s="211"/>
      <c r="R20" s="211"/>
      <c r="S20" s="211"/>
      <c r="T20" s="211"/>
      <c r="U20" s="211"/>
    </row>
    <row r="21" spans="3:21" ht="14.4" customHeight="1" x14ac:dyDescent="0.3">
      <c r="C21" s="211"/>
      <c r="D21" s="211"/>
      <c r="E21" s="211"/>
      <c r="F21" s="211"/>
      <c r="G21" s="211"/>
      <c r="H21" s="211"/>
      <c r="I21" s="211"/>
      <c r="J21" s="211"/>
      <c r="K21" s="211"/>
      <c r="L21" s="211"/>
      <c r="M21" s="211"/>
      <c r="N21" s="211"/>
      <c r="O21" s="211"/>
      <c r="P21" s="211"/>
      <c r="Q21" s="211"/>
      <c r="R21" s="211"/>
      <c r="S21" s="211"/>
      <c r="T21" s="211"/>
      <c r="U21" s="211"/>
    </row>
    <row r="22" spans="3:21" ht="14.4" customHeight="1" x14ac:dyDescent="0.3">
      <c r="C22" s="211"/>
      <c r="D22" s="211"/>
      <c r="E22" s="211"/>
      <c r="F22" s="211"/>
      <c r="G22" s="211"/>
      <c r="H22" s="211"/>
      <c r="I22" s="211"/>
      <c r="J22" s="211"/>
      <c r="K22" s="211"/>
      <c r="L22" s="211"/>
      <c r="M22" s="211"/>
      <c r="N22" s="211"/>
      <c r="O22" s="211"/>
      <c r="P22" s="211"/>
      <c r="Q22" s="211"/>
      <c r="R22" s="211"/>
      <c r="S22" s="211"/>
      <c r="T22" s="211"/>
      <c r="U22" s="211"/>
    </row>
    <row r="23" spans="3:21" ht="14.4" customHeight="1" x14ac:dyDescent="0.3">
      <c r="C23" s="134"/>
      <c r="D23" s="134"/>
      <c r="E23" s="134"/>
      <c r="F23" s="134"/>
      <c r="G23" s="134"/>
      <c r="H23" s="134"/>
      <c r="I23" s="134"/>
      <c r="J23" s="134"/>
      <c r="K23" s="134"/>
      <c r="L23" s="134"/>
      <c r="M23" s="134"/>
      <c r="N23" s="134"/>
      <c r="O23" s="134"/>
      <c r="P23" s="134"/>
      <c r="Q23" s="134"/>
      <c r="R23" s="134"/>
      <c r="S23" s="134"/>
      <c r="T23" s="134"/>
      <c r="U23" s="134"/>
    </row>
    <row r="24" spans="3:21" ht="14.4" customHeight="1" x14ac:dyDescent="0.3">
      <c r="D24" s="132"/>
      <c r="E24" s="190" t="s">
        <v>79</v>
      </c>
      <c r="F24" s="190"/>
      <c r="G24" s="190"/>
      <c r="H24" s="190"/>
      <c r="I24" s="190"/>
      <c r="J24" s="190"/>
      <c r="K24" s="190"/>
      <c r="L24" s="190"/>
      <c r="M24" s="190"/>
      <c r="N24" s="190"/>
      <c r="O24" s="190"/>
      <c r="P24" s="190"/>
      <c r="Q24" s="190"/>
      <c r="R24" s="190"/>
      <c r="S24" s="190"/>
    </row>
    <row r="25" spans="3:21" ht="14.4" customHeight="1" x14ac:dyDescent="0.3">
      <c r="E25" s="190"/>
      <c r="F25" s="190"/>
      <c r="G25" s="190"/>
      <c r="H25" s="190"/>
      <c r="I25" s="190"/>
      <c r="J25" s="190"/>
      <c r="K25" s="190"/>
      <c r="L25" s="190"/>
      <c r="M25" s="190"/>
      <c r="N25" s="190"/>
      <c r="O25" s="190"/>
      <c r="P25" s="190"/>
      <c r="Q25" s="190"/>
      <c r="R25" s="190"/>
      <c r="S25" s="190"/>
    </row>
    <row r="26" spans="3:21" ht="14.4" customHeight="1" x14ac:dyDescent="0.3">
      <c r="E26" s="190"/>
      <c r="F26" s="190"/>
      <c r="G26" s="190"/>
      <c r="H26" s="190"/>
      <c r="I26" s="190"/>
      <c r="J26" s="190"/>
      <c r="K26" s="190"/>
      <c r="L26" s="190"/>
      <c r="M26" s="190"/>
      <c r="N26" s="190"/>
      <c r="O26" s="190"/>
      <c r="P26" s="190"/>
      <c r="Q26" s="190"/>
      <c r="R26" s="190"/>
      <c r="S26" s="190"/>
    </row>
    <row r="27" spans="3:21" ht="15" customHeight="1" x14ac:dyDescent="0.3"/>
    <row r="28" spans="3:21" ht="15" customHeight="1" x14ac:dyDescent="0.3"/>
    <row r="29" spans="3:21" ht="15" customHeight="1" x14ac:dyDescent="0.3"/>
    <row r="30" spans="3:21" ht="15" customHeight="1" x14ac:dyDescent="0.3"/>
    <row r="31" spans="3:21" ht="15" customHeight="1" x14ac:dyDescent="0.3"/>
    <row r="32" spans="3:21"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algorithmName="SHA-512" hashValue="GkGc+7BCsjRBZ+vd4IA4AHHKr9LOBvxWDAiC3GkCzTVY2L4n4jjUMSyBh9iODR+KAo6UsIMN65UDdP/u4fOsZA==" saltValue="bDDuP0YS110+rC+HVcgVOg==" spinCount="100000" sheet="1" objects="1" scenarios="1"/>
  <mergeCells count="6">
    <mergeCell ref="E24:S26"/>
    <mergeCell ref="F4:N6"/>
    <mergeCell ref="P2:V7"/>
    <mergeCell ref="A2:D6"/>
    <mergeCell ref="C10:U15"/>
    <mergeCell ref="C17:U2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
  <sheetViews>
    <sheetView workbookViewId="0">
      <selection activeCell="F14" sqref="F14"/>
    </sheetView>
  </sheetViews>
  <sheetFormatPr defaultRowHeight="14.4" x14ac:dyDescent="0.3"/>
  <sheetData>
    <row r="2" spans="3:3" x14ac:dyDescent="0.3">
      <c r="C2" t="s">
        <v>15</v>
      </c>
    </row>
    <row r="3" spans="3:3" x14ac:dyDescent="0.3">
      <c r="C3"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112"/>
  <sheetViews>
    <sheetView topLeftCell="M1" zoomScale="120" zoomScaleNormal="120" workbookViewId="0">
      <selection activeCell="Y44" sqref="Y44"/>
    </sheetView>
  </sheetViews>
  <sheetFormatPr defaultRowHeight="14.4" x14ac:dyDescent="0.3"/>
  <cols>
    <col min="3" max="3" width="11.33203125" customWidth="1"/>
    <col min="4" max="4" width="10.33203125" customWidth="1"/>
    <col min="5" max="5" width="10.44140625" customWidth="1"/>
    <col min="6" max="6" width="12.4414062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10.5546875" customWidth="1"/>
    <col min="20" max="20" width="12.44140625" bestFit="1" customWidth="1"/>
    <col min="21" max="22" width="12.33203125" bestFit="1" customWidth="1"/>
    <col min="23" max="23" width="11.44140625" bestFit="1" customWidth="1"/>
    <col min="24" max="24" width="9.77734375" customWidth="1"/>
    <col min="25" max="25" width="10.44140625" bestFit="1" customWidth="1"/>
    <col min="26" max="26" width="9" bestFit="1" customWidth="1"/>
    <col min="27" max="27" width="10.33203125" bestFit="1" customWidth="1"/>
  </cols>
  <sheetData>
    <row r="3" spans="2:27" x14ac:dyDescent="0.3">
      <c r="D3" s="279" t="s">
        <v>26</v>
      </c>
      <c r="E3" s="279"/>
      <c r="F3" s="279"/>
      <c r="G3" s="279"/>
      <c r="M3" s="280" t="s">
        <v>27</v>
      </c>
      <c r="N3" s="280"/>
      <c r="O3" s="280"/>
      <c r="P3" s="280"/>
      <c r="U3" s="280" t="s">
        <v>28</v>
      </c>
      <c r="V3" s="280"/>
      <c r="W3" s="280"/>
      <c r="X3" s="280"/>
    </row>
    <row r="4" spans="2:27" x14ac:dyDescent="0.3">
      <c r="D4" s="279"/>
      <c r="E4" s="279"/>
      <c r="F4" s="279"/>
      <c r="G4" s="279"/>
      <c r="M4" s="280"/>
      <c r="N4" s="280"/>
      <c r="O4" s="280"/>
      <c r="P4" s="280"/>
      <c r="U4" s="280"/>
      <c r="V4" s="280"/>
      <c r="W4" s="280"/>
      <c r="X4" s="280"/>
    </row>
    <row r="5" spans="2:27" ht="14.4" customHeight="1" x14ac:dyDescent="0.3">
      <c r="C5" s="251" t="s">
        <v>74</v>
      </c>
      <c r="D5" s="251"/>
      <c r="E5" s="251"/>
      <c r="F5" s="251"/>
      <c r="G5" s="251"/>
      <c r="H5" s="251"/>
      <c r="I5" s="251"/>
      <c r="K5" s="251" t="s">
        <v>78</v>
      </c>
      <c r="L5" s="251"/>
      <c r="M5" s="251"/>
      <c r="N5" s="251"/>
      <c r="O5" s="251"/>
      <c r="P5" s="251"/>
      <c r="Q5" s="251"/>
      <c r="S5" s="251" t="s">
        <v>74</v>
      </c>
      <c r="T5" s="251"/>
      <c r="U5" s="251"/>
      <c r="V5" s="251"/>
      <c r="W5" s="251"/>
      <c r="X5" s="251"/>
      <c r="Y5" s="251"/>
    </row>
    <row r="6" spans="2:27" ht="14.4" customHeight="1" x14ac:dyDescent="0.3">
      <c r="C6" s="251"/>
      <c r="D6" s="251"/>
      <c r="E6" s="251"/>
      <c r="F6" s="251"/>
      <c r="G6" s="251"/>
      <c r="H6" s="251"/>
      <c r="I6" s="251"/>
      <c r="K6" s="251"/>
      <c r="L6" s="251"/>
      <c r="M6" s="251"/>
      <c r="N6" s="251"/>
      <c r="O6" s="251"/>
      <c r="P6" s="251"/>
      <c r="Q6" s="251"/>
      <c r="S6" s="251"/>
      <c r="T6" s="251"/>
      <c r="U6" s="251"/>
      <c r="V6" s="251"/>
      <c r="W6" s="251"/>
      <c r="X6" s="251"/>
      <c r="Y6" s="251"/>
    </row>
    <row r="7" spans="2:27" ht="14.4" customHeight="1" x14ac:dyDescent="0.3">
      <c r="C7" s="251"/>
      <c r="D7" s="251"/>
      <c r="E7" s="251"/>
      <c r="F7" s="251"/>
      <c r="G7" s="251"/>
      <c r="H7" s="251"/>
      <c r="I7" s="251"/>
      <c r="K7" s="251"/>
      <c r="L7" s="251"/>
      <c r="M7" s="251"/>
      <c r="N7" s="251"/>
      <c r="O7" s="251"/>
      <c r="P7" s="251"/>
      <c r="Q7" s="251"/>
      <c r="S7" s="251"/>
      <c r="T7" s="251"/>
      <c r="U7" s="251"/>
      <c r="V7" s="251"/>
      <c r="W7" s="251"/>
      <c r="X7" s="251"/>
      <c r="Y7" s="251"/>
    </row>
    <row r="8" spans="2:27" x14ac:dyDescent="0.3">
      <c r="C8" s="8"/>
      <c r="D8" s="8"/>
      <c r="E8" s="8"/>
      <c r="F8" s="8"/>
      <c r="G8" s="8"/>
      <c r="H8" s="8"/>
      <c r="I8" s="8"/>
      <c r="Q8" s="1"/>
      <c r="R8" s="1"/>
      <c r="S8" s="1"/>
      <c r="T8" s="1"/>
      <c r="U8" s="1"/>
      <c r="V8" s="1"/>
      <c r="W8" s="1"/>
      <c r="X8" s="1"/>
      <c r="Y8" s="1"/>
      <c r="Z8" s="1"/>
    </row>
    <row r="9" spans="2:27" ht="14.4" customHeight="1" x14ac:dyDescent="0.3">
      <c r="B9" s="49"/>
      <c r="C9" s="230" t="s">
        <v>73</v>
      </c>
      <c r="D9" s="242" t="s">
        <v>58</v>
      </c>
      <c r="E9" s="219" t="s">
        <v>40</v>
      </c>
      <c r="F9" s="219" t="s">
        <v>41</v>
      </c>
      <c r="G9" s="230" t="s">
        <v>42</v>
      </c>
      <c r="H9" s="230" t="s">
        <v>25</v>
      </c>
      <c r="I9" s="8"/>
      <c r="K9" s="230" t="s">
        <v>73</v>
      </c>
      <c r="L9" s="219" t="s">
        <v>59</v>
      </c>
      <c r="M9" s="242" t="s">
        <v>49</v>
      </c>
      <c r="N9" s="242" t="s">
        <v>42</v>
      </c>
      <c r="O9" s="230" t="s">
        <v>25</v>
      </c>
      <c r="Q9" s="4"/>
      <c r="R9" s="90"/>
      <c r="S9" s="230" t="s">
        <v>73</v>
      </c>
      <c r="T9" s="230" t="s">
        <v>58</v>
      </c>
      <c r="U9" s="244" t="s">
        <v>60</v>
      </c>
      <c r="V9" s="246"/>
      <c r="W9" s="242" t="s">
        <v>61</v>
      </c>
      <c r="X9" s="242" t="s">
        <v>42</v>
      </c>
      <c r="Y9" s="242" t="s">
        <v>25</v>
      </c>
      <c r="Z9" s="1"/>
    </row>
    <row r="10" spans="2:27" x14ac:dyDescent="0.3">
      <c r="B10" s="49"/>
      <c r="C10" s="231"/>
      <c r="D10" s="247"/>
      <c r="E10" s="229"/>
      <c r="F10" s="229"/>
      <c r="G10" s="231"/>
      <c r="H10" s="231"/>
      <c r="I10" s="8"/>
      <c r="K10" s="231"/>
      <c r="L10" s="229"/>
      <c r="M10" s="247"/>
      <c r="N10" s="247"/>
      <c r="O10" s="231"/>
      <c r="Q10" s="4"/>
      <c r="R10" s="90"/>
      <c r="S10" s="231"/>
      <c r="T10" s="231"/>
      <c r="U10" s="283"/>
      <c r="V10" s="284"/>
      <c r="W10" s="247"/>
      <c r="X10" s="247"/>
      <c r="Y10" s="247"/>
      <c r="Z10" s="1"/>
    </row>
    <row r="11" spans="2:27" x14ac:dyDescent="0.3">
      <c r="B11" s="49"/>
      <c r="C11" s="231"/>
      <c r="D11" s="243"/>
      <c r="E11" s="220"/>
      <c r="F11" s="220"/>
      <c r="G11" s="231"/>
      <c r="H11" s="231"/>
      <c r="I11" s="8"/>
      <c r="K11" s="231"/>
      <c r="L11" s="220"/>
      <c r="M11" s="243"/>
      <c r="N11" s="247"/>
      <c r="O11" s="231"/>
      <c r="Q11" s="4"/>
      <c r="R11" s="90"/>
      <c r="S11" s="231"/>
      <c r="T11" s="258"/>
      <c r="U11" s="92" t="s">
        <v>29</v>
      </c>
      <c r="V11" s="92" t="s">
        <v>30</v>
      </c>
      <c r="W11" s="247"/>
      <c r="X11" s="247"/>
      <c r="Y11" s="247"/>
      <c r="Z11" s="1"/>
    </row>
    <row r="12" spans="2:27" x14ac:dyDescent="0.3">
      <c r="B12" s="49"/>
      <c r="C12" s="106" t="s">
        <v>0</v>
      </c>
      <c r="D12" s="55">
        <v>52</v>
      </c>
      <c r="E12" s="101">
        <v>28.6</v>
      </c>
      <c r="F12" s="176">
        <v>0</v>
      </c>
      <c r="G12" s="232">
        <v>0.75</v>
      </c>
      <c r="H12" s="235">
        <f>IF(G12=75%,I$18,IF(G12=70%,I$19,IF(G12=65%,I20,IF(G12=60%,I$21,IF(G12=55%,I22,IF(G12=50%,I23))))))</f>
        <v>0</v>
      </c>
      <c r="I12" s="8"/>
      <c r="K12" s="60" t="s">
        <v>0</v>
      </c>
      <c r="L12" s="69">
        <v>52</v>
      </c>
      <c r="M12" s="169">
        <v>0</v>
      </c>
      <c r="N12" s="253">
        <v>0.75</v>
      </c>
      <c r="O12" s="235">
        <f>IF(N12=75%,Q18,IF(N12=70%,Q19,IF(N12=65%,Q20,IF(N12=60%,Q21,IF(N12=55%,Q22,IF(N12=50%,Q23))))))</f>
        <v>0</v>
      </c>
      <c r="Q12" s="4"/>
      <c r="R12" s="90"/>
      <c r="S12" s="60" t="s">
        <v>0</v>
      </c>
      <c r="T12" s="79">
        <v>52</v>
      </c>
      <c r="U12" s="50" t="s">
        <v>19</v>
      </c>
      <c r="V12" s="55" t="s">
        <v>19</v>
      </c>
      <c r="W12" s="169">
        <v>0</v>
      </c>
      <c r="X12" s="253">
        <v>0.5</v>
      </c>
      <c r="Y12" s="259">
        <f>IF(X12=75%,AA18,IF(X12=70%,AA19,IF(X12=65%,AA20,IF(X12=60%,AA21,IF(X12=55%,AA22,IF(X12=50%,AA23))))))</f>
        <v>0</v>
      </c>
      <c r="Z12" s="1"/>
    </row>
    <row r="13" spans="2:27" x14ac:dyDescent="0.3">
      <c r="B13" s="49"/>
      <c r="C13" s="107" t="s">
        <v>1</v>
      </c>
      <c r="D13" s="104">
        <v>113</v>
      </c>
      <c r="E13" s="102">
        <v>62.15</v>
      </c>
      <c r="F13" s="177">
        <v>0</v>
      </c>
      <c r="G13" s="233"/>
      <c r="H13" s="236"/>
      <c r="I13" s="8"/>
      <c r="K13" s="60" t="s">
        <v>1</v>
      </c>
      <c r="L13" s="69">
        <v>113</v>
      </c>
      <c r="M13" s="169">
        <v>0</v>
      </c>
      <c r="N13" s="254"/>
      <c r="O13" s="236"/>
      <c r="Q13" s="5"/>
      <c r="R13" s="90"/>
      <c r="S13" s="94" t="s">
        <v>1</v>
      </c>
      <c r="T13" s="75">
        <v>113</v>
      </c>
      <c r="U13" s="50">
        <v>41</v>
      </c>
      <c r="V13" s="55">
        <v>50</v>
      </c>
      <c r="W13" s="171">
        <v>0</v>
      </c>
      <c r="X13" s="254"/>
      <c r="Y13" s="260"/>
      <c r="Z13" s="1"/>
    </row>
    <row r="14" spans="2:27" x14ac:dyDescent="0.3">
      <c r="B14" s="49"/>
      <c r="C14" s="108" t="s">
        <v>2</v>
      </c>
      <c r="D14" s="105">
        <v>144</v>
      </c>
      <c r="E14" s="103">
        <v>79.2</v>
      </c>
      <c r="F14" s="178">
        <v>0</v>
      </c>
      <c r="G14" s="234"/>
      <c r="H14" s="237"/>
      <c r="I14" s="8"/>
      <c r="K14" s="61" t="s">
        <v>2</v>
      </c>
      <c r="L14" s="70">
        <v>144</v>
      </c>
      <c r="M14" s="170">
        <v>0</v>
      </c>
      <c r="N14" s="255"/>
      <c r="O14" s="237"/>
      <c r="Q14" s="5"/>
      <c r="R14" s="90"/>
      <c r="S14" s="95" t="s">
        <v>2</v>
      </c>
      <c r="T14" s="75">
        <v>144</v>
      </c>
      <c r="U14" s="58">
        <v>66</v>
      </c>
      <c r="V14" s="59">
        <v>115</v>
      </c>
      <c r="W14" s="172">
        <v>0</v>
      </c>
      <c r="X14" s="255"/>
      <c r="Y14" s="261"/>
      <c r="Z14" s="1"/>
    </row>
    <row r="15" spans="2:27" ht="14.4" customHeight="1" x14ac:dyDescent="0.3">
      <c r="C15" s="82"/>
      <c r="D15" s="82"/>
      <c r="E15" s="82"/>
      <c r="F15" s="82"/>
      <c r="G15" s="82"/>
      <c r="H15" s="82"/>
      <c r="I15" s="8"/>
      <c r="N15" s="86"/>
      <c r="O15" s="86"/>
      <c r="P15" s="4"/>
      <c r="Q15" s="5"/>
      <c r="R15" s="5"/>
      <c r="S15" s="87"/>
      <c r="T15" s="88"/>
      <c r="U15" s="3"/>
      <c r="V15" s="3"/>
      <c r="W15" s="83"/>
      <c r="X15" s="83"/>
      <c r="Y15" s="83"/>
      <c r="Z15" s="62"/>
    </row>
    <row r="16" spans="2:27" ht="14.4" customHeight="1" x14ac:dyDescent="0.3">
      <c r="B16" s="49"/>
      <c r="C16" s="230" t="s">
        <v>53</v>
      </c>
      <c r="D16" s="219" t="s">
        <v>54</v>
      </c>
      <c r="E16" s="230" t="s">
        <v>55</v>
      </c>
      <c r="F16" s="240" t="s">
        <v>56</v>
      </c>
      <c r="G16" s="240"/>
      <c r="H16" s="241"/>
      <c r="I16" s="230" t="s">
        <v>25</v>
      </c>
      <c r="K16" s="219" t="s">
        <v>53</v>
      </c>
      <c r="L16" s="242" t="s">
        <v>54</v>
      </c>
      <c r="M16" s="242" t="s">
        <v>57</v>
      </c>
      <c r="N16" s="275" t="s">
        <v>22</v>
      </c>
      <c r="O16" s="276"/>
      <c r="P16" s="277"/>
      <c r="Q16" s="242" t="s">
        <v>25</v>
      </c>
      <c r="R16" s="96"/>
      <c r="S16" s="256" t="s">
        <v>53</v>
      </c>
      <c r="T16" s="242" t="s">
        <v>54</v>
      </c>
      <c r="U16" s="242" t="s">
        <v>65</v>
      </c>
      <c r="V16" s="219" t="s">
        <v>62</v>
      </c>
      <c r="W16" s="289" t="s">
        <v>63</v>
      </c>
      <c r="X16" s="262" t="s">
        <v>64</v>
      </c>
      <c r="Y16" s="249" t="s">
        <v>8</v>
      </c>
      <c r="Z16" s="250"/>
      <c r="AA16" s="242" t="s">
        <v>25</v>
      </c>
    </row>
    <row r="17" spans="1:27" ht="14.4" customHeight="1" x14ac:dyDescent="0.3">
      <c r="B17" s="49"/>
      <c r="C17" s="231"/>
      <c r="D17" s="229"/>
      <c r="E17" s="231"/>
      <c r="F17" s="56" t="s">
        <v>6</v>
      </c>
      <c r="G17" s="56" t="s">
        <v>4</v>
      </c>
      <c r="H17" s="93" t="s">
        <v>5</v>
      </c>
      <c r="I17" s="231"/>
      <c r="K17" s="229"/>
      <c r="L17" s="247"/>
      <c r="M17" s="247"/>
      <c r="N17" s="52" t="s">
        <v>6</v>
      </c>
      <c r="O17" s="52" t="s">
        <v>4</v>
      </c>
      <c r="P17" s="52" t="s">
        <v>5</v>
      </c>
      <c r="Q17" s="247"/>
      <c r="R17" s="96"/>
      <c r="S17" s="257"/>
      <c r="T17" s="247"/>
      <c r="U17" s="243"/>
      <c r="V17" s="220"/>
      <c r="W17" s="290"/>
      <c r="X17" s="263"/>
      <c r="Y17" s="56" t="s">
        <v>4</v>
      </c>
      <c r="Z17" s="56" t="s">
        <v>5</v>
      </c>
      <c r="AA17" s="243"/>
    </row>
    <row r="18" spans="1:27" x14ac:dyDescent="0.3">
      <c r="B18" s="49"/>
      <c r="C18" s="98">
        <v>0.75</v>
      </c>
      <c r="D18" s="148">
        <f>((F$12*D$12)+(F$13*D$13)+(F$14*D$14))*C18</f>
        <v>0</v>
      </c>
      <c r="E18" s="149">
        <f>((F$12*D$12)+(F$13*D$13)+(F$14*D$14))*0.25</f>
        <v>0</v>
      </c>
      <c r="F18" s="150">
        <f>F12*D12*'Avoc rates'!B3*0.45*C18</f>
        <v>0</v>
      </c>
      <c r="G18" s="150">
        <f>F13*D13* 'Avoc rates'!C3*0.45*C18</f>
        <v>0</v>
      </c>
      <c r="H18" s="149">
        <f>F14*D14* 'Avoc rates'!D3*0.45*C18</f>
        <v>0</v>
      </c>
      <c r="I18" s="151">
        <f>F18+G18+H18</f>
        <v>0</v>
      </c>
      <c r="K18" s="57">
        <v>0.75</v>
      </c>
      <c r="L18" s="160">
        <f>((L12*M12)+(L13*M13)+(L14*M14))*K18</f>
        <v>0</v>
      </c>
      <c r="M18" s="160">
        <f>L18*0.05</f>
        <v>0</v>
      </c>
      <c r="N18" s="160">
        <f>L12*M12* 'Avoc rates'!B13*0.45*K18</f>
        <v>0</v>
      </c>
      <c r="O18" s="160">
        <f>L13*M13* 'Avoc rates'!C13*0.45*K18</f>
        <v>0</v>
      </c>
      <c r="P18" s="160">
        <f>L14*M14* 'Avoc rates'!D13*0.45*K18</f>
        <v>0</v>
      </c>
      <c r="Q18" s="160">
        <f t="shared" ref="Q18:Q23" si="0">N18+O18+P18</f>
        <v>0</v>
      </c>
      <c r="R18" s="96"/>
      <c r="S18" s="98">
        <v>0.75</v>
      </c>
      <c r="T18" s="148">
        <f>((T12*W12)+(T13*W13)+(T14*W14))*S18</f>
        <v>0</v>
      </c>
      <c r="U18" s="148">
        <f>((T12*W12)+(T13*W13)+(T14*W14))*0.25</f>
        <v>0</v>
      </c>
      <c r="V18" s="165">
        <f>((W13*V13)+(W14*V14))*S18</f>
        <v>0</v>
      </c>
      <c r="W18" s="148">
        <f>((W13*V13)+(W14*V14))*0.25</f>
        <v>0</v>
      </c>
      <c r="X18" s="148">
        <f>(W12*T12* 'Avoc rates'!B3*0.45*S18) +(T13*W13* 'Avoc rates'!C3 *0.45*S18) + (T14*W14*  'Avoc rates'!D3*0.45*S18)</f>
        <v>0</v>
      </c>
      <c r="Y18" s="148">
        <f xml:space="preserve"> V13*W13*S18*'Avoc rates'!B23*0.45</f>
        <v>0</v>
      </c>
      <c r="Z18" s="148">
        <f>V14*W14*S18* 'Avoc rates'!C23*0.45</f>
        <v>0</v>
      </c>
      <c r="AA18" s="148">
        <f>X18+Y18+Z18</f>
        <v>0</v>
      </c>
    </row>
    <row r="19" spans="1:27" x14ac:dyDescent="0.3">
      <c r="B19" s="49"/>
      <c r="C19" s="99">
        <v>0.7</v>
      </c>
      <c r="D19" s="152">
        <f t="shared" ref="D19:D23" si="1">((F$12*D$12)+(F$13*D$13)+(F$14*D$14))*C19</f>
        <v>0</v>
      </c>
      <c r="E19" s="153">
        <f>((F$12*D$12)+(F$13*D$13)+(F$14*D$14))*0.3</f>
        <v>0</v>
      </c>
      <c r="F19" s="154">
        <f>F12*D12* 'Avoc rates'!B4*0.41*C19</f>
        <v>0</v>
      </c>
      <c r="G19" s="154">
        <f>F13*D13* 'Avoc rates'!C4*0.41*C19</f>
        <v>0</v>
      </c>
      <c r="H19" s="153">
        <f>F14*D14* 'Avoc rates'!D4*0.41*C19</f>
        <v>0</v>
      </c>
      <c r="I19" s="153">
        <f>F19+G19+H19</f>
        <v>0</v>
      </c>
      <c r="K19" s="67">
        <v>0.7</v>
      </c>
      <c r="L19" s="161">
        <f>((L12*M12+L13*M13+L14*M14))*K19</f>
        <v>0</v>
      </c>
      <c r="M19" s="161">
        <f>L19*0.05</f>
        <v>0</v>
      </c>
      <c r="N19" s="161">
        <f>L12*M12*'Avoc rates'!B14*0.41*K19</f>
        <v>0</v>
      </c>
      <c r="O19" s="161">
        <f>L13*M13* 'Avoc rates'!C14*0.41*K19</f>
        <v>0</v>
      </c>
      <c r="P19" s="161">
        <f>L14*M14* 'Avoc rates'!D14*0.41*K19</f>
        <v>0</v>
      </c>
      <c r="Q19" s="161">
        <f t="shared" si="0"/>
        <v>0</v>
      </c>
      <c r="R19" s="96"/>
      <c r="S19" s="99">
        <v>0.7</v>
      </c>
      <c r="T19" s="152">
        <f>((T12*W12)+(T13*W13)+(T14*W14))*S19</f>
        <v>0</v>
      </c>
      <c r="U19" s="152">
        <f>((T12*W12)+(T13*W13)+(T14*W14))*0.3</f>
        <v>0</v>
      </c>
      <c r="V19" s="166">
        <f>((W13*V13)+(W14*V14))*S19</f>
        <v>0</v>
      </c>
      <c r="W19" s="152">
        <f>((W13*V13)+(W14*V14))*0.3</f>
        <v>0</v>
      </c>
      <c r="X19" s="152">
        <f>(T12*W12* 'Avoc rates'!B4*0.41*S19)+ ( T13*W13* 'Avoc rates'!C4*0.41*S19)+(T14*W14* 'Avoc rates'!D4*0.41*S19)</f>
        <v>0</v>
      </c>
      <c r="Y19" s="152">
        <f xml:space="preserve"> V13*W13*S19* 'Avoc rates'!B24*0.41</f>
        <v>0</v>
      </c>
      <c r="Z19" s="152">
        <f xml:space="preserve"> V14*W14*S19* 'Avoc rates'!C24*0.41</f>
        <v>0</v>
      </c>
      <c r="AA19" s="152">
        <f t="shared" ref="AA19:AA23" si="2">X19+Y19+Z19</f>
        <v>0</v>
      </c>
    </row>
    <row r="20" spans="1:27" x14ac:dyDescent="0.3">
      <c r="B20" s="49"/>
      <c r="C20" s="99">
        <v>0.65</v>
      </c>
      <c r="D20" s="152">
        <f t="shared" si="1"/>
        <v>0</v>
      </c>
      <c r="E20" s="153">
        <f>((F$12*D$12)+(F$13*D$13)+(F$14*D$14))*0.35</f>
        <v>0</v>
      </c>
      <c r="F20" s="154">
        <f>F12*D12* 'Avoc rates'!B5*0.41*C20</f>
        <v>0</v>
      </c>
      <c r="G20" s="154">
        <f>F13*D13*'Avoc rates'!C5*0.41*C20</f>
        <v>0</v>
      </c>
      <c r="H20" s="153">
        <f>F14*D14* 'Avoc rates'!D5*0.41*C20</f>
        <v>0</v>
      </c>
      <c r="I20" s="153">
        <f t="shared" ref="I20:I23" si="3">F20+G20+H20</f>
        <v>0</v>
      </c>
      <c r="K20" s="67">
        <v>0.65</v>
      </c>
      <c r="L20" s="161">
        <f>((L12*M12+L13*M13+L14*M14))*K20</f>
        <v>0</v>
      </c>
      <c r="M20" s="161">
        <f t="shared" ref="M20:M23" si="4">L20*0.05</f>
        <v>0</v>
      </c>
      <c r="N20" s="161">
        <f>L12*M12* 'Avoc rates'!B15*0.41*K20</f>
        <v>0</v>
      </c>
      <c r="O20" s="161">
        <f>L13*M13*'Avoc rates'!C15*0.41*K20</f>
        <v>0</v>
      </c>
      <c r="P20" s="161">
        <f>L14*M14* 'Avoc rates'!D15*0.41*K20</f>
        <v>0</v>
      </c>
      <c r="Q20" s="161">
        <f t="shared" si="0"/>
        <v>0</v>
      </c>
      <c r="R20" s="96"/>
      <c r="S20" s="99">
        <v>0.65</v>
      </c>
      <c r="T20" s="152">
        <f>((T12*W12)+(T13*W13)+(T14*W14))*S20</f>
        <v>0</v>
      </c>
      <c r="U20" s="152">
        <f>((T12*W12)+(T13*W13)+(T14*W14))*0.35</f>
        <v>0</v>
      </c>
      <c r="V20" s="166">
        <f>((W13*V13)+(W14*V14))*S20</f>
        <v>0</v>
      </c>
      <c r="W20" s="152">
        <f>((W13*V13)+(W14*V14))*0.35</f>
        <v>0</v>
      </c>
      <c r="X20" s="152">
        <f>(W12*T12* 'Avoc rates'!B5*0.41*S20)+(T13*W13* 'Avoc rates'!C5*0.41*S20)+(T14*W14* 'Avoc rates'!D5*0.41*S20)</f>
        <v>0</v>
      </c>
      <c r="Y20" s="152">
        <f xml:space="preserve"> V13*W13*S20* 'Avoc rates'!B25*0.41</f>
        <v>0</v>
      </c>
      <c r="Z20" s="152">
        <f xml:space="preserve"> V14*W14*S20* 'Avoc rates'!C25*0.41</f>
        <v>0</v>
      </c>
      <c r="AA20" s="152">
        <f t="shared" si="2"/>
        <v>0</v>
      </c>
    </row>
    <row r="21" spans="1:27" x14ac:dyDescent="0.3">
      <c r="B21" s="49"/>
      <c r="C21" s="99">
        <v>0.6</v>
      </c>
      <c r="D21" s="152">
        <f t="shared" si="1"/>
        <v>0</v>
      </c>
      <c r="E21" s="153">
        <f>((F$12*D$12)+(F$13*D$13)+(F$14*D$14))*0.4</f>
        <v>0</v>
      </c>
      <c r="F21" s="154">
        <f>F12*D12* 'Avoc rates'!B6*0.36*C21</f>
        <v>0</v>
      </c>
      <c r="G21" s="154">
        <f>F13*D13* 'Avoc rates'!C6*0.36*C21</f>
        <v>0</v>
      </c>
      <c r="H21" s="153">
        <f>F14*D14*'Avoc rates'!D6 *0.36*C21</f>
        <v>0</v>
      </c>
      <c r="I21" s="153">
        <f t="shared" si="3"/>
        <v>0</v>
      </c>
      <c r="K21" s="67">
        <v>0.6</v>
      </c>
      <c r="L21" s="161">
        <f>((L12*M12+L13*M13+L14*M14))*K21</f>
        <v>0</v>
      </c>
      <c r="M21" s="161">
        <f t="shared" si="4"/>
        <v>0</v>
      </c>
      <c r="N21" s="161">
        <f>L12*M12* 'Avoc rates'!B16*0.36*K21</f>
        <v>0</v>
      </c>
      <c r="O21" s="161">
        <f>L13*M13* 'Avoc rates'!C16*0.36*K21</f>
        <v>0</v>
      </c>
      <c r="P21" s="161">
        <f>L14*M14* 'Avoc rates'!D16*0.36*K21</f>
        <v>0</v>
      </c>
      <c r="Q21" s="161">
        <f t="shared" si="0"/>
        <v>0</v>
      </c>
      <c r="R21" s="96"/>
      <c r="S21" s="99">
        <v>0.6</v>
      </c>
      <c r="T21" s="152">
        <f>((T12*W12)+(T13*W13)+(T14*W14))*S21</f>
        <v>0</v>
      </c>
      <c r="U21" s="152">
        <f>((T12*W12)+(T13*W13)+(T14*W14))*0.4</f>
        <v>0</v>
      </c>
      <c r="V21" s="166">
        <f>((W13*V13)+(W14*V14))*S21</f>
        <v>0</v>
      </c>
      <c r="W21" s="152">
        <f>((W13*V13)+(W14*V14))*0.4</f>
        <v>0</v>
      </c>
      <c r="X21" s="152">
        <f>(W12*T12* 'Avoc rates'!B6*0.36*S21)+( T13*W13* 'Avoc rates'!C6*0.36*S21)+( T14*W14* 'Avoc rates'!D6*0.36*S21)</f>
        <v>0</v>
      </c>
      <c r="Y21" s="152">
        <f xml:space="preserve"> V13*W13*S21* 'Avoc rates'!B26*0.36</f>
        <v>0</v>
      </c>
      <c r="Z21" s="152">
        <f>(V14*W14*S21*'Avoc rates'!C26*0.36)</f>
        <v>0</v>
      </c>
      <c r="AA21" s="152">
        <f t="shared" si="2"/>
        <v>0</v>
      </c>
    </row>
    <row r="22" spans="1:27" x14ac:dyDescent="0.3">
      <c r="B22" s="49"/>
      <c r="C22" s="99">
        <v>0.55000000000000004</v>
      </c>
      <c r="D22" s="152">
        <f t="shared" si="1"/>
        <v>0</v>
      </c>
      <c r="E22" s="153">
        <f>((F$12*D$12)+(F$13*D$13)+(F$14*D$14))*0.45</f>
        <v>0</v>
      </c>
      <c r="F22" s="154">
        <f>F12*D12* 'Avoc rates'!B7*0.36*C22</f>
        <v>0</v>
      </c>
      <c r="G22" s="154">
        <f>F13*D13* 'Avoc rates'!C7*0.36*C22</f>
        <v>0</v>
      </c>
      <c r="H22" s="153">
        <f>F14*D14* 'Avoc rates'!D7*0.36*C22</f>
        <v>0</v>
      </c>
      <c r="I22" s="153">
        <f t="shared" si="3"/>
        <v>0</v>
      </c>
      <c r="K22" s="67">
        <v>0.55000000000000004</v>
      </c>
      <c r="L22" s="161">
        <f>((L12*M12+L13*M13+L14*M14))*K22</f>
        <v>0</v>
      </c>
      <c r="M22" s="161">
        <f t="shared" si="4"/>
        <v>0</v>
      </c>
      <c r="N22" s="161">
        <f>L12*M12* 'Avoc rates'!B17*0.36*K22</f>
        <v>0</v>
      </c>
      <c r="O22" s="161">
        <f>L13*M13*'Avoc rates'!C17*0.36*K22</f>
        <v>0</v>
      </c>
      <c r="P22" s="161">
        <f>L14*M14* 'Avoc rates'!D17*0.36*K22</f>
        <v>0</v>
      </c>
      <c r="Q22" s="161">
        <f t="shared" si="0"/>
        <v>0</v>
      </c>
      <c r="R22" s="96"/>
      <c r="S22" s="99">
        <v>0.55000000000000004</v>
      </c>
      <c r="T22" s="152">
        <f>((T12*W12)+(T13*W13)+(T14*W14))*S22</f>
        <v>0</v>
      </c>
      <c r="U22" s="152">
        <f>((T12*W12)+(T13*W13)+(T14*W14))*0.45</f>
        <v>0</v>
      </c>
      <c r="V22" s="166">
        <f>((W13*V13)+(W14*V14))*S22</f>
        <v>0</v>
      </c>
      <c r="W22" s="152">
        <f>((W13*V13)+(W14*V14))*0.45</f>
        <v>0</v>
      </c>
      <c r="X22" s="152">
        <f>(W12*T12* 'Avoc rates'!B7*0.36*S22)+( T13*W13* 'Avoc rates'!C7*0.36*S22)+( T14*W14* 'Avoc rates'!D7*0.36*S22)</f>
        <v>0</v>
      </c>
      <c r="Y22" s="152">
        <f xml:space="preserve"> V13*W13*S22* 'Avoc rates'!B27*0.36</f>
        <v>0</v>
      </c>
      <c r="Z22" s="152">
        <f>V14*W14*S22* 'Avoc rates'!C27*0.36</f>
        <v>0</v>
      </c>
      <c r="AA22" s="152">
        <f t="shared" si="2"/>
        <v>0</v>
      </c>
    </row>
    <row r="23" spans="1:27" x14ac:dyDescent="0.3">
      <c r="B23" s="49"/>
      <c r="C23" s="99">
        <v>0.5</v>
      </c>
      <c r="D23" s="152">
        <f t="shared" si="1"/>
        <v>0</v>
      </c>
      <c r="E23" s="153">
        <f>((F$12*D$12)+(F$13*D$13)+(F$14*D$14))*0.5</f>
        <v>0</v>
      </c>
      <c r="F23" s="154">
        <f>F12*D12* 'Avoc rates'!B8*0.33*C23</f>
        <v>0</v>
      </c>
      <c r="G23" s="154">
        <f>F13*D13* 'Avoc rates'!C8*0.33*C23</f>
        <v>0</v>
      </c>
      <c r="H23" s="153">
        <f>F14*D14* 'Avoc rates'!D8*0.33*C23</f>
        <v>0</v>
      </c>
      <c r="I23" s="153">
        <f t="shared" si="3"/>
        <v>0</v>
      </c>
      <c r="K23" s="68">
        <v>0.5</v>
      </c>
      <c r="L23" s="162">
        <f>((L12*M12+L13*M13+L14*M14))*K23</f>
        <v>0</v>
      </c>
      <c r="M23" s="162">
        <f t="shared" si="4"/>
        <v>0</v>
      </c>
      <c r="N23" s="162">
        <f>L12*M12* 'Avoc rates'!B18*0.33*K23</f>
        <v>0</v>
      </c>
      <c r="O23" s="162">
        <f>L13*M13*'Avoc rates'!C18*0.33*K23</f>
        <v>0</v>
      </c>
      <c r="P23" s="162">
        <f>L14*M14* 'Avoc rates'!D18*0.33*K23</f>
        <v>0</v>
      </c>
      <c r="Q23" s="162">
        <f t="shared" si="0"/>
        <v>0</v>
      </c>
      <c r="R23" s="96"/>
      <c r="S23" s="100">
        <v>0.5</v>
      </c>
      <c r="T23" s="155">
        <f>((T12*W12)+(T13*W13)+(T14*W14))*S23</f>
        <v>0</v>
      </c>
      <c r="U23" s="155">
        <f>((T12*W12)+(T13*W13)+(T14*W14))*0.5</f>
        <v>0</v>
      </c>
      <c r="V23" s="167">
        <f>((W13*V13)+(W14*V14))*S23</f>
        <v>0</v>
      </c>
      <c r="W23" s="155">
        <f>((W13*V13)+(W14*V14))*0.5</f>
        <v>0</v>
      </c>
      <c r="X23" s="155">
        <f>(W12*T12* 'Avoc rates'!B8*0.33*S23)+( T13*W13* 'Avoc rates'!C8*0.33*S23)+( T14*W14* 'Avoc rates'!D8*0.33*S23)</f>
        <v>0</v>
      </c>
      <c r="Y23" s="155">
        <f xml:space="preserve"> V13*W13*S23* 'Avoc rates'!B28*0.33</f>
        <v>0</v>
      </c>
      <c r="Z23" s="155">
        <f>V14*W14*S23* 'Avoc rates'!C28*0.33</f>
        <v>0</v>
      </c>
      <c r="AA23" s="155">
        <f t="shared" si="2"/>
        <v>0</v>
      </c>
    </row>
    <row r="24" spans="1:27" ht="14.4" customHeight="1" x14ac:dyDescent="0.3">
      <c r="A24" s="8"/>
      <c r="B24" s="49"/>
      <c r="C24" s="109" t="s">
        <v>18</v>
      </c>
      <c r="D24" s="155">
        <f>ROUND((F12*E12*0.5)+(F13*E13*0.5)+(F14*E14*0.5),0)</f>
        <v>0</v>
      </c>
      <c r="E24" s="156" t="s">
        <v>19</v>
      </c>
      <c r="F24" s="157" t="s">
        <v>19</v>
      </c>
      <c r="G24" s="157" t="s">
        <v>19</v>
      </c>
      <c r="H24" s="158" t="s">
        <v>19</v>
      </c>
      <c r="I24" s="159" t="s">
        <v>19</v>
      </c>
      <c r="J24" s="8"/>
      <c r="K24" s="8"/>
      <c r="L24" s="8"/>
      <c r="M24" s="8"/>
      <c r="N24" s="8"/>
      <c r="O24" s="8"/>
      <c r="P24" s="4"/>
      <c r="Q24" s="5"/>
      <c r="R24" s="5"/>
      <c r="S24" s="84"/>
      <c r="T24" s="85"/>
      <c r="U24" s="85"/>
      <c r="V24" s="85"/>
      <c r="W24" s="80"/>
      <c r="X24" s="80"/>
      <c r="Y24" s="80"/>
      <c r="Z24" s="80"/>
      <c r="AA24" s="48"/>
    </row>
    <row r="25" spans="1:27" x14ac:dyDescent="0.3">
      <c r="A25" s="8"/>
      <c r="C25" s="81"/>
      <c r="D25" s="81"/>
      <c r="E25" s="81"/>
      <c r="F25" s="81"/>
      <c r="G25" s="81"/>
      <c r="H25" s="81"/>
      <c r="I25" s="48"/>
      <c r="J25" s="8"/>
      <c r="K25" s="8"/>
      <c r="L25" s="8"/>
      <c r="M25" s="8"/>
      <c r="N25" s="8"/>
      <c r="O25" s="8"/>
      <c r="P25" s="4"/>
      <c r="Q25" s="5"/>
      <c r="R25" s="5"/>
      <c r="S25" s="5"/>
      <c r="T25" s="3"/>
      <c r="U25" s="3"/>
      <c r="V25" s="3"/>
      <c r="W25" s="1"/>
      <c r="X25" s="1"/>
      <c r="Y25" s="1"/>
      <c r="Z25" s="1"/>
      <c r="AA25" s="186"/>
    </row>
    <row r="26" spans="1:27" ht="14.4" customHeight="1" x14ac:dyDescent="0.3">
      <c r="A26" s="8"/>
      <c r="C26" s="74"/>
      <c r="D26" s="74"/>
      <c r="E26" s="74"/>
      <c r="F26" s="74"/>
      <c r="G26" s="74"/>
      <c r="H26" s="74"/>
      <c r="I26" s="8"/>
      <c r="J26" s="8"/>
      <c r="K26" s="8"/>
      <c r="L26" s="8"/>
      <c r="M26" s="8"/>
      <c r="N26" s="8"/>
      <c r="O26" s="8"/>
      <c r="P26" s="4"/>
      <c r="Q26" s="5"/>
      <c r="R26" s="5"/>
      <c r="S26" s="5"/>
      <c r="T26" s="3"/>
      <c r="U26" s="3"/>
      <c r="V26" s="3"/>
      <c r="W26" s="62"/>
      <c r="X26" s="62"/>
      <c r="Y26" s="62"/>
      <c r="Z26" s="62"/>
    </row>
    <row r="27" spans="1:27" ht="14.4" customHeight="1" x14ac:dyDescent="0.3">
      <c r="A27" s="8"/>
      <c r="C27" s="252" t="s">
        <v>75</v>
      </c>
      <c r="D27" s="252"/>
      <c r="E27" s="252"/>
      <c r="F27" s="252"/>
      <c r="G27" s="252"/>
      <c r="H27" s="252"/>
      <c r="I27" s="252"/>
      <c r="J27" s="8"/>
      <c r="K27" s="252" t="s">
        <v>77</v>
      </c>
      <c r="L27" s="252"/>
      <c r="M27" s="252"/>
      <c r="N27" s="252"/>
      <c r="O27" s="252"/>
      <c r="P27" s="252"/>
      <c r="Q27" s="252"/>
      <c r="R27" s="5"/>
      <c r="S27" s="252" t="s">
        <v>77</v>
      </c>
      <c r="T27" s="252"/>
      <c r="U27" s="252"/>
      <c r="V27" s="252"/>
      <c r="W27" s="252"/>
      <c r="X27" s="252"/>
      <c r="Y27" s="252"/>
      <c r="Z27" s="62"/>
    </row>
    <row r="28" spans="1:27" x14ac:dyDescent="0.3">
      <c r="A28" s="8"/>
      <c r="C28" s="252"/>
      <c r="D28" s="252"/>
      <c r="E28" s="252"/>
      <c r="F28" s="252"/>
      <c r="G28" s="252"/>
      <c r="H28" s="252"/>
      <c r="I28" s="252"/>
      <c r="J28" s="8"/>
      <c r="K28" s="252"/>
      <c r="L28" s="252"/>
      <c r="M28" s="252"/>
      <c r="N28" s="252"/>
      <c r="O28" s="252"/>
      <c r="P28" s="252"/>
      <c r="Q28" s="252"/>
      <c r="R28" s="5"/>
      <c r="S28" s="252"/>
      <c r="T28" s="252"/>
      <c r="U28" s="252"/>
      <c r="V28" s="252"/>
      <c r="W28" s="252"/>
      <c r="X28" s="252"/>
      <c r="Y28" s="252"/>
      <c r="Z28" s="62"/>
    </row>
    <row r="29" spans="1:27" x14ac:dyDescent="0.3">
      <c r="A29" s="8"/>
      <c r="C29" s="252"/>
      <c r="D29" s="252"/>
      <c r="E29" s="252"/>
      <c r="F29" s="252"/>
      <c r="G29" s="252"/>
      <c r="H29" s="252"/>
      <c r="I29" s="252"/>
      <c r="J29" s="8"/>
      <c r="K29" s="252"/>
      <c r="L29" s="252"/>
      <c r="M29" s="252"/>
      <c r="N29" s="252"/>
      <c r="O29" s="252"/>
      <c r="P29" s="252"/>
      <c r="Q29" s="252"/>
      <c r="R29" s="5"/>
      <c r="S29" s="252"/>
      <c r="T29" s="252"/>
      <c r="U29" s="252"/>
      <c r="V29" s="252"/>
      <c r="W29" s="252"/>
      <c r="X29" s="252"/>
      <c r="Y29" s="252"/>
      <c r="Z29" s="62"/>
    </row>
    <row r="30" spans="1:27" ht="14.4" customHeight="1" x14ac:dyDescent="0.3">
      <c r="A30" s="8"/>
      <c r="C30" s="8"/>
      <c r="D30" s="8"/>
      <c r="E30" s="8"/>
      <c r="F30" s="8"/>
      <c r="G30" s="8"/>
      <c r="H30" s="8"/>
      <c r="I30" s="8"/>
      <c r="J30" s="8"/>
      <c r="K30" s="8"/>
      <c r="L30" s="8"/>
      <c r="M30" s="8"/>
      <c r="N30" s="8"/>
      <c r="O30" s="8"/>
      <c r="P30" s="4"/>
      <c r="Q30" s="5"/>
      <c r="R30" s="5"/>
      <c r="S30" s="5"/>
      <c r="T30" s="3"/>
      <c r="U30" s="3"/>
      <c r="V30" s="3"/>
      <c r="W30" s="1"/>
      <c r="X30" s="1"/>
      <c r="Y30" s="1"/>
      <c r="Z30" s="1"/>
    </row>
    <row r="31" spans="1:27" ht="14.4" customHeight="1" x14ac:dyDescent="0.3">
      <c r="A31" s="8"/>
      <c r="B31" s="49"/>
      <c r="C31" s="214"/>
      <c r="D31" s="244" t="s">
        <v>11</v>
      </c>
      <c r="E31" s="245"/>
      <c r="F31" s="246"/>
      <c r="G31" s="217"/>
      <c r="H31" s="218"/>
      <c r="I31" s="218"/>
      <c r="J31" s="49"/>
      <c r="K31" s="271"/>
      <c r="L31" s="278" t="s">
        <v>11</v>
      </c>
      <c r="M31" s="240"/>
      <c r="N31" s="241"/>
      <c r="O31" s="217"/>
      <c r="P31" s="218"/>
      <c r="Q31" s="5"/>
      <c r="R31" s="90"/>
      <c r="S31" s="214"/>
      <c r="T31" s="240" t="s">
        <v>23</v>
      </c>
      <c r="U31" s="240"/>
      <c r="V31" s="241"/>
      <c r="W31" s="285"/>
      <c r="X31" s="286"/>
      <c r="Y31" s="245" t="s">
        <v>8</v>
      </c>
      <c r="Z31" s="246"/>
    </row>
    <row r="32" spans="1:27" ht="14.4" customHeight="1" x14ac:dyDescent="0.3">
      <c r="A32" s="8"/>
      <c r="B32" s="49"/>
      <c r="C32" s="215"/>
      <c r="D32" s="91" t="s">
        <v>6</v>
      </c>
      <c r="E32" s="91" t="s">
        <v>4</v>
      </c>
      <c r="F32" s="92" t="s">
        <v>5</v>
      </c>
      <c r="G32" s="217"/>
      <c r="H32" s="218"/>
      <c r="I32" s="218"/>
      <c r="J32" s="49"/>
      <c r="K32" s="272"/>
      <c r="L32" s="56" t="s">
        <v>6</v>
      </c>
      <c r="M32" s="56" t="s">
        <v>4</v>
      </c>
      <c r="N32" s="93" t="s">
        <v>5</v>
      </c>
      <c r="O32" s="217"/>
      <c r="P32" s="218"/>
      <c r="Q32" s="5"/>
      <c r="R32" s="90"/>
      <c r="S32" s="215"/>
      <c r="T32" s="89" t="s">
        <v>6</v>
      </c>
      <c r="U32" s="89" t="s">
        <v>4</v>
      </c>
      <c r="V32" s="89" t="s">
        <v>5</v>
      </c>
      <c r="W32" s="287"/>
      <c r="X32" s="288"/>
      <c r="Y32" s="89" t="s">
        <v>4</v>
      </c>
      <c r="Z32" s="89" t="s">
        <v>5</v>
      </c>
    </row>
    <row r="33" spans="1:31" ht="14.4" customHeight="1" x14ac:dyDescent="0.3">
      <c r="A33" s="8"/>
      <c r="B33" s="49"/>
      <c r="C33" s="219" t="s">
        <v>48</v>
      </c>
      <c r="D33" s="227">
        <v>0</v>
      </c>
      <c r="E33" s="227">
        <v>0</v>
      </c>
      <c r="F33" s="268">
        <v>0</v>
      </c>
      <c r="G33" s="217"/>
      <c r="H33" s="218"/>
      <c r="I33" s="218"/>
      <c r="J33" s="97"/>
      <c r="K33" s="242" t="s">
        <v>48</v>
      </c>
      <c r="L33" s="281">
        <v>0</v>
      </c>
      <c r="M33" s="281">
        <v>0</v>
      </c>
      <c r="N33" s="268">
        <v>0</v>
      </c>
      <c r="O33" s="217"/>
      <c r="P33" s="218"/>
      <c r="Q33" s="5"/>
      <c r="R33" s="90"/>
      <c r="S33" s="219" t="s">
        <v>48</v>
      </c>
      <c r="T33" s="268">
        <v>0</v>
      </c>
      <c r="U33" s="268">
        <v>0</v>
      </c>
      <c r="V33" s="268">
        <v>0</v>
      </c>
      <c r="W33" s="221" t="s">
        <v>72</v>
      </c>
      <c r="X33" s="222"/>
      <c r="Y33" s="225">
        <v>0</v>
      </c>
      <c r="Z33" s="227">
        <v>0</v>
      </c>
      <c r="AA33" s="62"/>
      <c r="AB33" s="62"/>
      <c r="AC33" s="62"/>
      <c r="AD33" s="77"/>
      <c r="AE33" s="77"/>
    </row>
    <row r="34" spans="1:31" ht="14.4" customHeight="1" x14ac:dyDescent="0.3">
      <c r="A34" s="8"/>
      <c r="B34" s="49"/>
      <c r="C34" s="229"/>
      <c r="D34" s="267"/>
      <c r="E34" s="267"/>
      <c r="F34" s="269"/>
      <c r="G34" s="217"/>
      <c r="H34" s="218"/>
      <c r="I34" s="218"/>
      <c r="J34" s="49"/>
      <c r="K34" s="243"/>
      <c r="L34" s="282"/>
      <c r="M34" s="282"/>
      <c r="N34" s="270"/>
      <c r="O34" s="217"/>
      <c r="P34" s="218"/>
      <c r="Q34" s="5"/>
      <c r="R34" s="90"/>
      <c r="S34" s="220"/>
      <c r="T34" s="270"/>
      <c r="U34" s="270"/>
      <c r="V34" s="270"/>
      <c r="W34" s="223"/>
      <c r="X34" s="224"/>
      <c r="Y34" s="226"/>
      <c r="Z34" s="228"/>
      <c r="AA34" s="62"/>
      <c r="AB34" s="62"/>
      <c r="AC34" s="62"/>
      <c r="AD34" s="78"/>
      <c r="AE34" s="77"/>
    </row>
    <row r="35" spans="1:31" ht="14.4" customHeight="1" x14ac:dyDescent="0.3">
      <c r="A35" s="8"/>
      <c r="B35" s="49"/>
      <c r="C35" s="53" t="s">
        <v>47</v>
      </c>
      <c r="D35" s="179">
        <v>0</v>
      </c>
      <c r="E35" s="180">
        <v>0</v>
      </c>
      <c r="F35" s="181">
        <v>0</v>
      </c>
      <c r="G35" s="217"/>
      <c r="H35" s="218"/>
      <c r="I35" s="218"/>
      <c r="J35" s="49"/>
      <c r="K35" s="53" t="s">
        <v>47</v>
      </c>
      <c r="L35" s="173">
        <v>0</v>
      </c>
      <c r="M35" s="173">
        <v>0</v>
      </c>
      <c r="N35" s="174">
        <v>0</v>
      </c>
      <c r="O35" s="217"/>
      <c r="P35" s="218"/>
      <c r="Q35" s="5"/>
      <c r="R35" s="90"/>
      <c r="S35" s="138" t="s">
        <v>47</v>
      </c>
      <c r="T35" s="174">
        <v>0</v>
      </c>
      <c r="U35" s="174">
        <v>0</v>
      </c>
      <c r="V35" s="174">
        <v>0</v>
      </c>
      <c r="W35" s="273" t="s">
        <v>24</v>
      </c>
      <c r="X35" s="274"/>
      <c r="Y35" s="175">
        <v>0</v>
      </c>
      <c r="Z35" s="175">
        <v>0</v>
      </c>
    </row>
    <row r="36" spans="1:31" ht="14.4" customHeight="1" x14ac:dyDescent="0.3">
      <c r="A36" s="8"/>
      <c r="C36" s="216"/>
      <c r="D36" s="216"/>
      <c r="E36" s="216"/>
      <c r="F36" s="216"/>
      <c r="G36" s="216"/>
      <c r="H36" s="216"/>
      <c r="I36" s="216"/>
      <c r="J36" s="8"/>
      <c r="K36" s="216"/>
      <c r="L36" s="216"/>
      <c r="M36" s="216"/>
      <c r="N36" s="216"/>
      <c r="O36" s="216"/>
      <c r="P36" s="216"/>
      <c r="Q36" s="5"/>
      <c r="R36" s="5"/>
      <c r="S36" s="213"/>
      <c r="T36" s="213"/>
      <c r="U36" s="213"/>
      <c r="V36" s="213"/>
      <c r="W36" s="213"/>
      <c r="X36" s="213"/>
      <c r="Y36" s="213"/>
      <c r="Z36" s="213"/>
    </row>
    <row r="37" spans="1:31" ht="14.4" customHeight="1" x14ac:dyDescent="0.3">
      <c r="A37" s="8"/>
      <c r="B37" s="49"/>
      <c r="C37" s="219" t="s">
        <v>46</v>
      </c>
      <c r="D37" s="242" t="s">
        <v>50</v>
      </c>
      <c r="E37" s="242" t="s">
        <v>51</v>
      </c>
      <c r="F37" s="242" t="s">
        <v>31</v>
      </c>
      <c r="G37" s="242" t="s">
        <v>39</v>
      </c>
      <c r="H37" s="242" t="s">
        <v>25</v>
      </c>
      <c r="I37" s="238" t="s">
        <v>52</v>
      </c>
      <c r="J37" s="8"/>
      <c r="K37" s="219" t="s">
        <v>46</v>
      </c>
      <c r="L37" s="242" t="s">
        <v>71</v>
      </c>
      <c r="M37" s="219" t="s">
        <v>45</v>
      </c>
      <c r="N37" s="219" t="s">
        <v>25</v>
      </c>
      <c r="O37" s="242" t="s">
        <v>43</v>
      </c>
      <c r="P37" s="219" t="s">
        <v>44</v>
      </c>
      <c r="R37" s="49"/>
      <c r="S37" s="219" t="s">
        <v>67</v>
      </c>
      <c r="T37" s="242" t="s">
        <v>66</v>
      </c>
      <c r="U37" s="219" t="s">
        <v>39</v>
      </c>
      <c r="V37" s="230" t="s">
        <v>25</v>
      </c>
      <c r="W37" s="242" t="s">
        <v>52</v>
      </c>
      <c r="X37" s="212"/>
      <c r="Y37" s="209"/>
      <c r="Z37" s="209"/>
    </row>
    <row r="38" spans="1:31" ht="14.4" customHeight="1" x14ac:dyDescent="0.3">
      <c r="B38" s="49"/>
      <c r="C38" s="229"/>
      <c r="D38" s="247"/>
      <c r="E38" s="243"/>
      <c r="F38" s="247"/>
      <c r="G38" s="243"/>
      <c r="H38" s="247"/>
      <c r="I38" s="239"/>
      <c r="J38" s="8"/>
      <c r="K38" s="220"/>
      <c r="L38" s="243"/>
      <c r="M38" s="220"/>
      <c r="N38" s="220"/>
      <c r="O38" s="243"/>
      <c r="P38" s="220"/>
      <c r="R38" s="49"/>
      <c r="S38" s="220"/>
      <c r="T38" s="247"/>
      <c r="U38" s="220"/>
      <c r="V38" s="231"/>
      <c r="W38" s="247"/>
      <c r="X38" s="212"/>
      <c r="Y38" s="209"/>
      <c r="Z38" s="209"/>
    </row>
    <row r="39" spans="1:31" ht="14.4" customHeight="1" x14ac:dyDescent="0.3">
      <c r="B39" s="49"/>
      <c r="C39" s="145">
        <f>(D33*D12*D35)+(E33*D13*E35)+(F33*D14*F35)</f>
        <v>0</v>
      </c>
      <c r="D39" s="145">
        <f>IF(G12=75%,E$18,IF(G12=70%,E$19,IF(G12=65%,E$20,IF(G12=60%,E$21,IF(G12=55%,E$22,IF(G12=50%,E$23))))))</f>
        <v>0</v>
      </c>
      <c r="E39" s="145">
        <f>D33*D35*E12+E33*E35*E13+F33*F35*E14</f>
        <v>0</v>
      </c>
      <c r="F39" s="146">
        <f>MAX(0,E39-D24)</f>
        <v>0</v>
      </c>
      <c r="G39" s="145">
        <f>MAX(0,C39-D39)</f>
        <v>0</v>
      </c>
      <c r="H39" s="147">
        <f>IF(G12=75%,I$18,IF(G12=70%,I$19,IF(G12=65%,I$20,IF(G12=60%,I$21,IF(G12=55%,I$22,IF(G12=50%,I$23))))))</f>
        <v>0</v>
      </c>
      <c r="I39" s="188">
        <f>IF(G39&gt;0,G39-H39,-H39)</f>
        <v>0</v>
      </c>
      <c r="J39" s="8"/>
      <c r="K39" s="163">
        <f>(L33*L12*L35)+(M33*L13*M35)+(N33*L14*N35)</f>
        <v>0</v>
      </c>
      <c r="L39" s="145">
        <f>IF(N12=75%,M$18,IF(N12=70%,M$19,IF(N12=65%,M$20,IF(N12=60%,M$21,IF(N12=55%,M$22,IF(N12=50%,M$23))))))</f>
        <v>0</v>
      </c>
      <c r="M39" s="164">
        <f>K39*N12</f>
        <v>0</v>
      </c>
      <c r="N39" s="163">
        <f>IF(N12=75%,Q$18,IF(N12=70%,Q$19,IF(N12=65%,Q$20,IF(N12=60%,Q$21,IF(N12=55%,Q$22,IF(N12=50%,Q$23))))))</f>
        <v>0</v>
      </c>
      <c r="O39" s="164">
        <f>IF(M39&gt;L39,M39, 0)</f>
        <v>0</v>
      </c>
      <c r="P39" s="189">
        <f>IF(M39&gt;L39,M39-N39,-N39)</f>
        <v>0</v>
      </c>
      <c r="R39" s="49"/>
      <c r="S39" s="148">
        <f>IF(X12=75%,U18,IF(X12=70%,U19,IF(X12=65%,U20,IF(X12=60%,U21,IF(X12=55%,U22,IF(X12=50%,U23))))))</f>
        <v>0</v>
      </c>
      <c r="T39" s="148">
        <f>(T33*T35*T12)+(U33*U35*T13)+(V33*V35*T14)</f>
        <v>0</v>
      </c>
      <c r="U39" s="148">
        <f>MAX(0,T39-S39)</f>
        <v>0</v>
      </c>
      <c r="V39" s="149">
        <f>IF(X12=75%,AA18,IF(X12=70%,AA19,IF(X12=65%,AA20,IF(X12=60%,AA21,IF(X12=55%,AA22,IF(X12=50%,AA23))))))</f>
        <v>0</v>
      </c>
      <c r="W39" s="243"/>
      <c r="X39" s="212"/>
      <c r="Y39" s="209"/>
      <c r="Z39" s="209"/>
    </row>
    <row r="40" spans="1:31" x14ac:dyDescent="0.3">
      <c r="B40" s="8"/>
      <c r="C40" s="48"/>
      <c r="D40" s="48"/>
      <c r="E40" s="48"/>
      <c r="F40" s="48"/>
      <c r="G40" s="48"/>
      <c r="H40" s="48"/>
      <c r="I40" s="48"/>
      <c r="J40" s="8"/>
      <c r="K40" s="8"/>
      <c r="L40" s="8"/>
      <c r="M40" s="8"/>
      <c r="N40" s="8"/>
      <c r="O40" s="8"/>
      <c r="P40" s="54"/>
      <c r="R40" s="49"/>
      <c r="S40" s="242" t="s">
        <v>63</v>
      </c>
      <c r="T40" s="242" t="s">
        <v>68</v>
      </c>
      <c r="U40" s="242" t="s">
        <v>69</v>
      </c>
      <c r="V40" s="242" t="s">
        <v>70</v>
      </c>
      <c r="W40" s="264">
        <f>IF(V42&gt;0,V42-V39,-V39)</f>
        <v>0</v>
      </c>
      <c r="X40" s="212"/>
      <c r="Y40" s="209"/>
      <c r="Z40" s="209"/>
    </row>
    <row r="41" spans="1:31" ht="14.4" customHeight="1" x14ac:dyDescent="0.3">
      <c r="B41" s="8"/>
      <c r="C41" s="8"/>
      <c r="D41" s="8"/>
      <c r="E41" s="8"/>
      <c r="F41" s="139"/>
      <c r="G41" s="8"/>
      <c r="H41" s="8"/>
      <c r="I41" s="8"/>
      <c r="J41" s="8"/>
      <c r="K41" s="8"/>
      <c r="L41" s="8"/>
      <c r="M41" s="8"/>
      <c r="N41" s="8"/>
      <c r="O41" s="8"/>
      <c r="P41" s="54"/>
      <c r="R41" s="49"/>
      <c r="S41" s="243"/>
      <c r="T41" s="247"/>
      <c r="U41" s="243"/>
      <c r="V41" s="243"/>
      <c r="W41" s="265"/>
      <c r="X41" s="212"/>
      <c r="Y41" s="209"/>
      <c r="Z41" s="209"/>
    </row>
    <row r="42" spans="1:31" x14ac:dyDescent="0.3">
      <c r="B42" s="8"/>
      <c r="C42" s="8"/>
      <c r="D42" s="8"/>
      <c r="E42" s="8"/>
      <c r="G42" s="8"/>
      <c r="H42" s="8"/>
      <c r="I42" s="8"/>
      <c r="J42" s="8"/>
      <c r="K42" s="8"/>
      <c r="L42" s="8"/>
      <c r="M42" s="8"/>
      <c r="N42" s="8"/>
      <c r="O42" s="8"/>
      <c r="P42" s="54"/>
      <c r="R42" s="49"/>
      <c r="S42" s="164">
        <f>IF(X12=75%,W18,IF(X12=70%,W19,IF(X12=65%,W20,IF(X12=60%,W21,IF(X12=55%,W22,IF(X12=50%,W23))))))</f>
        <v>0</v>
      </c>
      <c r="T42" s="164">
        <f>(Y33*U13)+(Z33*U14)+(Y35*V13)+(Z35*V14)</f>
        <v>0</v>
      </c>
      <c r="U42" s="164">
        <f>MAX(0,T42-S42)</f>
        <v>0</v>
      </c>
      <c r="V42" s="168">
        <f>U39+U42</f>
        <v>0</v>
      </c>
      <c r="W42" s="266"/>
      <c r="X42" s="212"/>
      <c r="Y42" s="209"/>
      <c r="Z42" s="209"/>
    </row>
    <row r="43" spans="1:31" ht="14.4" customHeight="1" x14ac:dyDescent="0.3">
      <c r="A43" s="8"/>
      <c r="B43" s="8"/>
      <c r="C43" s="8"/>
      <c r="D43" s="8"/>
      <c r="E43" s="8"/>
      <c r="G43" s="8"/>
      <c r="H43" s="8"/>
      <c r="I43" s="8"/>
      <c r="J43" s="8"/>
      <c r="K43" s="8"/>
      <c r="L43" s="8"/>
      <c r="M43" s="8"/>
      <c r="N43" s="8"/>
      <c r="O43" s="8"/>
      <c r="P43" s="54"/>
      <c r="Q43" s="8"/>
      <c r="R43" s="8"/>
      <c r="S43" s="48"/>
      <c r="T43" s="48"/>
      <c r="U43" s="80"/>
      <c r="V43" s="48"/>
      <c r="W43" s="48"/>
      <c r="Z43" s="51"/>
    </row>
    <row r="44" spans="1:31" x14ac:dyDescent="0.3">
      <c r="A44" s="8"/>
      <c r="B44" s="8"/>
      <c r="C44" s="8"/>
      <c r="D44" s="8"/>
      <c r="E44" s="8"/>
      <c r="F44" s="8"/>
      <c r="G44" s="8"/>
      <c r="H44" s="8"/>
      <c r="I44" s="8"/>
      <c r="J44" s="8"/>
      <c r="K44" s="8"/>
      <c r="L44" s="8"/>
      <c r="M44" s="8"/>
      <c r="N44" s="8"/>
      <c r="O44" s="8"/>
      <c r="P44" s="54"/>
      <c r="Q44" s="8"/>
      <c r="R44" s="8"/>
      <c r="Z44" s="51"/>
    </row>
    <row r="45" spans="1:31" x14ac:dyDescent="0.3">
      <c r="A45" s="8"/>
      <c r="B45" s="8"/>
      <c r="C45" s="8"/>
      <c r="D45" s="8"/>
      <c r="E45" s="8"/>
      <c r="F45" s="8"/>
      <c r="G45" s="8"/>
      <c r="H45" s="8"/>
      <c r="I45" s="8"/>
      <c r="J45" s="8"/>
      <c r="K45" s="8"/>
      <c r="L45" s="8"/>
      <c r="M45" s="8"/>
      <c r="N45" s="8"/>
      <c r="O45" s="8"/>
      <c r="P45" s="54"/>
      <c r="Q45" s="8"/>
      <c r="R45" s="110"/>
      <c r="W45" s="139"/>
      <c r="Z45" s="51"/>
    </row>
    <row r="46" spans="1:31" x14ac:dyDescent="0.3">
      <c r="A46" s="8"/>
      <c r="B46" s="8"/>
      <c r="C46" s="8"/>
      <c r="D46" s="8"/>
      <c r="E46" s="8"/>
      <c r="F46" s="8"/>
      <c r="G46" s="8"/>
      <c r="H46" s="8"/>
      <c r="I46" s="8"/>
      <c r="J46" s="8"/>
      <c r="K46" s="8"/>
      <c r="L46" s="8"/>
      <c r="M46" s="8"/>
      <c r="N46" s="8"/>
      <c r="O46" s="8"/>
      <c r="P46" s="54"/>
      <c r="Q46" s="8"/>
      <c r="R46" s="8"/>
      <c r="W46" s="139"/>
      <c r="Z46" s="51"/>
    </row>
    <row r="47" spans="1:31" x14ac:dyDescent="0.3">
      <c r="A47" s="8"/>
      <c r="B47" s="8"/>
      <c r="C47" s="8"/>
      <c r="D47" s="8"/>
      <c r="E47" s="8"/>
      <c r="F47" s="8"/>
      <c r="G47" s="8"/>
      <c r="H47" s="8"/>
      <c r="I47" s="8"/>
      <c r="J47" s="8"/>
      <c r="K47" s="8"/>
      <c r="L47" s="8"/>
      <c r="M47" s="8"/>
      <c r="N47" s="8"/>
      <c r="O47" s="8"/>
      <c r="P47" s="54"/>
      <c r="Q47" s="8"/>
      <c r="R47" s="8"/>
      <c r="Z47" s="51"/>
    </row>
    <row r="48" spans="1:31" x14ac:dyDescent="0.3">
      <c r="A48" s="8"/>
      <c r="B48" s="8"/>
      <c r="C48" s="8"/>
      <c r="D48" s="8"/>
      <c r="E48" s="8"/>
      <c r="F48" s="8"/>
      <c r="G48" s="8"/>
      <c r="H48" s="8"/>
      <c r="I48" s="8"/>
      <c r="J48" s="8"/>
      <c r="K48" s="8"/>
      <c r="L48" s="8"/>
      <c r="M48" s="8"/>
      <c r="N48" s="8"/>
      <c r="O48" s="8"/>
      <c r="P48" s="54"/>
      <c r="Q48" s="8"/>
      <c r="R48" s="8"/>
      <c r="Z48" s="51"/>
    </row>
    <row r="49" spans="1:26" x14ac:dyDescent="0.3">
      <c r="A49" s="8"/>
      <c r="B49" s="8"/>
      <c r="C49" s="8"/>
      <c r="D49" s="8"/>
      <c r="E49" s="8"/>
      <c r="F49" s="8"/>
      <c r="G49" s="8"/>
      <c r="H49" s="8"/>
      <c r="I49" s="8"/>
      <c r="J49" s="8"/>
      <c r="K49" s="8"/>
      <c r="L49" s="8"/>
      <c r="M49" s="8"/>
      <c r="N49" s="8"/>
      <c r="O49" s="8"/>
      <c r="P49" s="8"/>
      <c r="Q49" s="8"/>
      <c r="R49" s="8"/>
      <c r="S49" s="2"/>
      <c r="Y49" s="63"/>
      <c r="Z49" s="63"/>
    </row>
    <row r="50" spans="1:26" x14ac:dyDescent="0.3">
      <c r="A50" s="8"/>
      <c r="B50" s="8"/>
      <c r="C50" s="8"/>
      <c r="D50" s="8"/>
      <c r="E50" s="8"/>
      <c r="F50" s="8"/>
      <c r="G50" s="8"/>
      <c r="H50" s="8"/>
      <c r="I50" s="8"/>
      <c r="J50" s="8"/>
      <c r="K50" s="8"/>
      <c r="L50" s="8"/>
      <c r="M50" s="8"/>
      <c r="N50" s="8"/>
      <c r="O50" s="8"/>
      <c r="P50" s="8"/>
      <c r="Q50" s="8"/>
      <c r="R50" s="8"/>
      <c r="Y50" s="63"/>
      <c r="Z50" s="63"/>
    </row>
    <row r="51" spans="1:26" x14ac:dyDescent="0.3">
      <c r="A51" s="8"/>
      <c r="B51" s="8"/>
      <c r="C51" s="8"/>
      <c r="D51" s="8"/>
      <c r="E51" s="8"/>
      <c r="F51" s="8"/>
      <c r="G51" s="8"/>
      <c r="H51" s="8"/>
      <c r="I51" s="8"/>
      <c r="J51" s="8"/>
      <c r="K51" s="8"/>
      <c r="L51" s="8"/>
      <c r="M51" s="8"/>
      <c r="N51" s="8"/>
      <c r="O51" s="8"/>
      <c r="P51" s="8"/>
      <c r="Q51" s="8"/>
      <c r="R51" s="8"/>
      <c r="Z51" s="62"/>
    </row>
    <row r="52" spans="1:26" x14ac:dyDescent="0.3">
      <c r="A52" s="8"/>
      <c r="B52" s="8"/>
      <c r="C52" s="8"/>
      <c r="D52" s="8"/>
      <c r="E52" s="8"/>
      <c r="F52" s="8"/>
      <c r="G52" s="8"/>
      <c r="H52" s="8"/>
      <c r="I52" s="8"/>
      <c r="J52" s="8"/>
      <c r="K52" s="8"/>
      <c r="L52" s="8"/>
      <c r="M52" s="8"/>
      <c r="N52" s="8"/>
      <c r="O52" s="8"/>
      <c r="P52" s="72"/>
      <c r="Q52" s="72"/>
      <c r="R52" s="8"/>
      <c r="S52" s="76"/>
      <c r="Z52" s="62"/>
    </row>
    <row r="53" spans="1:26" x14ac:dyDescent="0.3">
      <c r="A53" s="8"/>
      <c r="B53" s="8"/>
      <c r="C53" s="8"/>
      <c r="D53" s="8"/>
      <c r="E53" s="8"/>
      <c r="F53" s="8"/>
      <c r="G53" s="8"/>
      <c r="H53" s="8"/>
      <c r="I53" s="8"/>
      <c r="J53" s="8"/>
      <c r="K53" s="8"/>
      <c r="L53" s="8"/>
      <c r="M53" s="8"/>
      <c r="N53" s="8"/>
      <c r="O53" s="8"/>
      <c r="P53" s="72"/>
      <c r="Q53" s="72"/>
      <c r="R53" s="8"/>
      <c r="Z53" s="62"/>
    </row>
    <row r="54" spans="1:26" ht="14.4" customHeight="1" x14ac:dyDescent="0.3">
      <c r="A54" s="8"/>
      <c r="B54" s="8"/>
      <c r="C54" s="8"/>
      <c r="D54" s="8"/>
      <c r="E54" s="8"/>
      <c r="F54" s="8"/>
      <c r="G54" s="8"/>
      <c r="H54" s="8"/>
      <c r="I54" s="8"/>
      <c r="J54" s="8"/>
      <c r="K54" s="8"/>
      <c r="L54" s="8"/>
      <c r="M54" s="8"/>
      <c r="N54" s="8"/>
      <c r="O54" s="8"/>
      <c r="P54" s="72"/>
      <c r="Q54" s="72"/>
      <c r="R54" s="8"/>
      <c r="W54" s="64"/>
      <c r="X54" s="64"/>
      <c r="Y54" s="43"/>
    </row>
    <row r="55" spans="1:26" x14ac:dyDescent="0.3">
      <c r="A55" s="8"/>
      <c r="B55" s="8"/>
      <c r="C55" s="8"/>
      <c r="D55" s="8"/>
      <c r="E55" s="8"/>
      <c r="F55" s="8"/>
      <c r="G55" s="8"/>
      <c r="H55" s="8"/>
      <c r="I55" s="8"/>
      <c r="J55" s="8"/>
      <c r="K55" s="8"/>
      <c r="L55" s="8"/>
      <c r="M55" s="8"/>
      <c r="N55" s="8"/>
      <c r="O55" s="8"/>
      <c r="P55" s="72"/>
      <c r="Q55" s="72"/>
      <c r="R55" s="8"/>
      <c r="W55" s="64"/>
      <c r="X55" s="64"/>
      <c r="Y55" s="44"/>
    </row>
    <row r="56" spans="1:26" ht="14.4" customHeight="1" x14ac:dyDescent="0.3">
      <c r="A56" s="8"/>
      <c r="B56" s="8"/>
      <c r="C56" s="8"/>
      <c r="D56" s="8"/>
      <c r="E56" s="8"/>
      <c r="F56" s="8"/>
      <c r="G56" s="8"/>
      <c r="H56" s="8"/>
      <c r="I56" s="8"/>
      <c r="J56" s="8"/>
      <c r="K56" s="8"/>
      <c r="L56" s="8"/>
      <c r="M56" s="8"/>
      <c r="N56" s="8"/>
      <c r="O56" s="8"/>
      <c r="P56" s="72"/>
      <c r="Q56" s="72"/>
      <c r="R56" s="8"/>
    </row>
    <row r="57" spans="1:26" x14ac:dyDescent="0.3">
      <c r="A57" s="8"/>
      <c r="B57" s="8"/>
      <c r="C57" s="8"/>
      <c r="D57" s="8"/>
      <c r="E57" s="8"/>
      <c r="F57" s="8"/>
      <c r="G57" s="8"/>
      <c r="H57" s="8"/>
      <c r="I57" s="8"/>
      <c r="J57" s="8"/>
      <c r="K57" s="8"/>
      <c r="L57" s="8"/>
      <c r="M57" s="8"/>
      <c r="N57" s="8"/>
      <c r="O57" s="8"/>
      <c r="P57" s="72"/>
      <c r="Q57" s="8"/>
      <c r="R57" s="8"/>
    </row>
    <row r="58" spans="1:26" ht="14.4" customHeight="1" x14ac:dyDescent="0.3">
      <c r="A58" s="8"/>
      <c r="B58" s="8"/>
      <c r="C58" s="8"/>
      <c r="D58" s="8"/>
      <c r="E58" s="8"/>
      <c r="F58" s="8"/>
      <c r="G58" s="8"/>
      <c r="H58" s="8"/>
      <c r="I58" s="8"/>
      <c r="J58" s="8"/>
      <c r="K58" s="8"/>
      <c r="L58" s="8"/>
      <c r="M58" s="8"/>
      <c r="N58" s="8"/>
      <c r="O58" s="8"/>
      <c r="P58" s="72"/>
      <c r="Q58" s="72"/>
      <c r="R58" s="8"/>
    </row>
    <row r="59" spans="1:26" x14ac:dyDescent="0.3">
      <c r="A59" s="8"/>
      <c r="B59" s="8"/>
      <c r="C59" s="8"/>
      <c r="D59" s="8"/>
      <c r="E59" s="8"/>
      <c r="F59" s="8"/>
      <c r="G59" s="8"/>
      <c r="H59" s="8"/>
      <c r="I59" s="8"/>
      <c r="J59" s="71"/>
      <c r="K59" s="71"/>
      <c r="L59" s="8"/>
      <c r="M59" s="8"/>
      <c r="N59" s="8"/>
      <c r="O59" s="8"/>
      <c r="P59" s="8"/>
      <c r="Q59" s="8"/>
      <c r="R59" s="8"/>
    </row>
    <row r="60" spans="1:26" x14ac:dyDescent="0.3">
      <c r="A60" s="8"/>
      <c r="B60" s="8"/>
      <c r="C60" s="8"/>
      <c r="D60" s="8"/>
      <c r="E60" s="8"/>
      <c r="F60" s="8"/>
      <c r="G60" s="8"/>
      <c r="H60" s="8"/>
      <c r="I60" s="8"/>
      <c r="J60" s="71"/>
      <c r="K60" s="71"/>
      <c r="L60" s="8"/>
      <c r="M60" s="8"/>
      <c r="N60" s="8"/>
      <c r="O60" s="8"/>
      <c r="P60" s="8"/>
      <c r="Q60" s="8"/>
      <c r="R60" s="8"/>
    </row>
    <row r="61" spans="1:26" x14ac:dyDescent="0.3">
      <c r="B61" s="8"/>
      <c r="C61" s="8"/>
      <c r="D61" s="8"/>
      <c r="E61" s="8"/>
      <c r="F61" s="8"/>
      <c r="G61" s="8"/>
      <c r="H61" s="8"/>
      <c r="J61" s="71"/>
      <c r="K61" s="71"/>
      <c r="L61" s="8"/>
      <c r="M61" s="8"/>
      <c r="N61" s="8"/>
      <c r="O61" s="8"/>
    </row>
    <row r="62" spans="1:26" x14ac:dyDescent="0.3">
      <c r="H62" s="8"/>
      <c r="J62" s="71"/>
      <c r="K62" s="71"/>
      <c r="L62" s="8"/>
      <c r="M62" s="8"/>
      <c r="N62" s="8"/>
      <c r="O62" s="8"/>
    </row>
    <row r="63" spans="1:26" x14ac:dyDescent="0.3">
      <c r="H63" s="8"/>
      <c r="J63" s="71"/>
      <c r="K63" s="71"/>
      <c r="L63" s="8"/>
      <c r="M63" s="8"/>
      <c r="N63" s="8"/>
      <c r="O63" s="8"/>
    </row>
    <row r="64" spans="1:26" x14ac:dyDescent="0.3">
      <c r="H64" s="8"/>
      <c r="J64" s="71"/>
      <c r="K64" s="71"/>
      <c r="L64" s="8"/>
      <c r="M64" s="8"/>
      <c r="N64" s="8"/>
      <c r="O64" s="8"/>
    </row>
    <row r="65" spans="2:15" x14ac:dyDescent="0.3">
      <c r="H65" s="8"/>
      <c r="J65" s="71"/>
      <c r="K65" s="71"/>
      <c r="L65" s="8"/>
      <c r="M65" s="8"/>
      <c r="N65" s="8"/>
      <c r="O65" s="8"/>
    </row>
    <row r="66" spans="2:15" x14ac:dyDescent="0.3">
      <c r="H66" s="8"/>
      <c r="J66" s="71"/>
      <c r="K66" s="71"/>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24" x14ac:dyDescent="0.3">
      <c r="B87" s="248" t="s">
        <v>10</v>
      </c>
      <c r="C87" s="248"/>
      <c r="D87" s="248"/>
      <c r="E87" s="248"/>
      <c r="F87" s="248"/>
      <c r="G87" s="9"/>
      <c r="H87" s="7"/>
    </row>
    <row r="88" spans="2:24" x14ac:dyDescent="0.3">
      <c r="C88" s="1" t="s">
        <v>3</v>
      </c>
      <c r="E88" s="1" t="s">
        <v>6</v>
      </c>
      <c r="F88" s="1" t="s">
        <v>4</v>
      </c>
      <c r="G88" s="1" t="s">
        <v>5</v>
      </c>
      <c r="H88" s="1" t="s">
        <v>4</v>
      </c>
      <c r="I88" s="1" t="s">
        <v>5</v>
      </c>
      <c r="J88" s="1" t="s">
        <v>9</v>
      </c>
    </row>
    <row r="89" spans="2:24" x14ac:dyDescent="0.3">
      <c r="B89" s="2">
        <v>0.75</v>
      </c>
      <c r="C89" s="2"/>
      <c r="E89" s="45">
        <f t="shared" ref="E89:G94" si="5">N18</f>
        <v>0</v>
      </c>
      <c r="F89" s="45">
        <f t="shared" si="5"/>
        <v>0</v>
      </c>
      <c r="G89" s="45">
        <f t="shared" si="5"/>
        <v>0</v>
      </c>
      <c r="H89" s="44">
        <f>ROUND( U13*F13*B89*'Avoc rates'!B33*0.45,0)</f>
        <v>0</v>
      </c>
      <c r="I89" s="44">
        <f>ROUND( U14*F14*B89*'Avoc rates'!C33*0.45,0)</f>
        <v>0</v>
      </c>
      <c r="J89" s="46">
        <f>E89+F89+G89+H89+I89</f>
        <v>0</v>
      </c>
    </row>
    <row r="90" spans="2:24" x14ac:dyDescent="0.3">
      <c r="B90" s="2">
        <v>0.7</v>
      </c>
      <c r="C90" s="2"/>
      <c r="E90" s="45">
        <f t="shared" si="5"/>
        <v>0</v>
      </c>
      <c r="F90" s="45">
        <f t="shared" si="5"/>
        <v>0</v>
      </c>
      <c r="G90" s="45">
        <f t="shared" si="5"/>
        <v>0</v>
      </c>
      <c r="H90" s="44">
        <f>ROUND( U13*F13*B90*'Avoc rates'!B34*0.41,0)</f>
        <v>0</v>
      </c>
      <c r="I90" s="44">
        <f>ROUND( U14*F14*B90*'Avoc rates'!C34*0.41,0)</f>
        <v>0</v>
      </c>
      <c r="J90" s="46">
        <f t="shared" ref="J90:J94" si="6">E90+F90+G90+H90+I90</f>
        <v>0</v>
      </c>
      <c r="Q90" s="1"/>
    </row>
    <row r="91" spans="2:24" x14ac:dyDescent="0.3">
      <c r="B91" s="2">
        <v>0.65</v>
      </c>
      <c r="C91" s="2"/>
      <c r="E91" s="45">
        <f t="shared" si="5"/>
        <v>0</v>
      </c>
      <c r="F91" s="45">
        <f t="shared" si="5"/>
        <v>0</v>
      </c>
      <c r="G91" s="45">
        <f t="shared" si="5"/>
        <v>0</v>
      </c>
      <c r="H91" s="44">
        <f>ROUND( U13*F13*B91*'Avoc rates'!B35*0.41,0)</f>
        <v>0</v>
      </c>
      <c r="I91" s="44">
        <f>ROUND(U14*F14*B91*'Avoc rates'!C35*0.41,0)</f>
        <v>0</v>
      </c>
      <c r="J91" s="46">
        <f t="shared" si="6"/>
        <v>0</v>
      </c>
      <c r="Q91" s="1"/>
      <c r="U91" s="6"/>
      <c r="V91" s="6"/>
      <c r="W91" s="6"/>
      <c r="X91" s="2"/>
    </row>
    <row r="92" spans="2:24" x14ac:dyDescent="0.3">
      <c r="B92" s="2">
        <v>0.6</v>
      </c>
      <c r="C92" s="2"/>
      <c r="E92" s="45">
        <f t="shared" si="5"/>
        <v>0</v>
      </c>
      <c r="F92" s="45">
        <f t="shared" si="5"/>
        <v>0</v>
      </c>
      <c r="G92" s="45">
        <f t="shared" si="5"/>
        <v>0</v>
      </c>
      <c r="H92" s="44">
        <f>ROUND( U13*F13*B92*'Avoc rates'!B36*0.36,0)</f>
        <v>0</v>
      </c>
      <c r="I92" s="44">
        <f>ROUND( U14*F14*B92*'Avoc rates'!C36*0.36,0)</f>
        <v>0</v>
      </c>
      <c r="J92" s="46">
        <f t="shared" si="6"/>
        <v>0</v>
      </c>
      <c r="Q92" s="1"/>
      <c r="U92" s="6"/>
      <c r="V92" s="6"/>
      <c r="W92" s="6"/>
      <c r="X92" s="2"/>
    </row>
    <row r="93" spans="2:24" x14ac:dyDescent="0.3">
      <c r="B93" s="2">
        <v>0.55000000000000004</v>
      </c>
      <c r="C93" s="2"/>
      <c r="E93" s="45">
        <f t="shared" si="5"/>
        <v>0</v>
      </c>
      <c r="F93" s="45">
        <f t="shared" si="5"/>
        <v>0</v>
      </c>
      <c r="G93" s="45">
        <f t="shared" si="5"/>
        <v>0</v>
      </c>
      <c r="H93" s="44">
        <f>ROUND( U13*F13*B93*'Avoc rates'!B37*0.36,0)</f>
        <v>0</v>
      </c>
      <c r="I93" s="44">
        <f>ROUND( U14*F14*B93*'Avoc rates'!C37*0.36,0)</f>
        <v>0</v>
      </c>
      <c r="J93" s="46">
        <f t="shared" si="6"/>
        <v>0</v>
      </c>
      <c r="Q93" s="1"/>
      <c r="X93" s="2"/>
    </row>
    <row r="94" spans="2:24" x14ac:dyDescent="0.3">
      <c r="B94" s="2">
        <v>0.5</v>
      </c>
      <c r="C94" s="2"/>
      <c r="E94" s="45">
        <f t="shared" si="5"/>
        <v>0</v>
      </c>
      <c r="F94" s="45">
        <f t="shared" si="5"/>
        <v>0</v>
      </c>
      <c r="G94" s="45">
        <f t="shared" si="5"/>
        <v>0</v>
      </c>
      <c r="H94" s="44">
        <f>ROUND( U13*F13*B94*'Avoc rates'!B38*0.33,0)</f>
        <v>0</v>
      </c>
      <c r="I94" s="44">
        <f>ROUND( U14*F14*B94*'Avoc rates'!C38*0.33,0)</f>
        <v>0</v>
      </c>
      <c r="J94" s="46">
        <f t="shared" si="6"/>
        <v>0</v>
      </c>
      <c r="Q94" s="1"/>
      <c r="U94" s="1"/>
      <c r="V94" s="1"/>
      <c r="X94" s="2"/>
    </row>
    <row r="95" spans="2:24" x14ac:dyDescent="0.3">
      <c r="Q95" s="1"/>
      <c r="X95" s="2"/>
    </row>
    <row r="96" spans="2:24" x14ac:dyDescent="0.3">
      <c r="Q96" s="1"/>
      <c r="X96" s="2"/>
    </row>
    <row r="97" spans="2:24" x14ac:dyDescent="0.3">
      <c r="Q97" s="1"/>
      <c r="X97" s="2"/>
    </row>
    <row r="98" spans="2:24" x14ac:dyDescent="0.3">
      <c r="B98" s="47" t="s">
        <v>16</v>
      </c>
      <c r="Q98" s="1"/>
      <c r="X98" s="2"/>
    </row>
    <row r="99" spans="2:24" x14ac:dyDescent="0.3">
      <c r="Q99" s="1"/>
      <c r="R99" s="1"/>
      <c r="S99" s="1"/>
      <c r="X99" s="2"/>
    </row>
    <row r="100" spans="2:24" x14ac:dyDescent="0.3">
      <c r="B100" t="s">
        <v>17</v>
      </c>
      <c r="Q100" s="1"/>
      <c r="R100" s="1"/>
      <c r="S100" s="1"/>
      <c r="X100" s="2"/>
    </row>
    <row r="101" spans="2:24" x14ac:dyDescent="0.3">
      <c r="Q101" s="1"/>
      <c r="R101" s="1"/>
      <c r="S101" s="1"/>
      <c r="X101" s="2"/>
    </row>
    <row r="102" spans="2:24" x14ac:dyDescent="0.3">
      <c r="Q102" s="1"/>
      <c r="R102" s="1"/>
      <c r="S102" s="1"/>
      <c r="U102" s="6"/>
      <c r="V102" s="6"/>
      <c r="W102" s="6"/>
      <c r="X102" s="2"/>
    </row>
    <row r="103" spans="2:24" x14ac:dyDescent="0.3">
      <c r="Q103" s="1"/>
      <c r="R103" s="1"/>
      <c r="S103" s="1"/>
      <c r="U103" s="6"/>
      <c r="V103" s="6"/>
      <c r="W103" s="6"/>
      <c r="X103" s="2"/>
    </row>
    <row r="104" spans="2:24" x14ac:dyDescent="0.3">
      <c r="Q104" s="1"/>
      <c r="R104" s="1"/>
      <c r="S104" s="1"/>
      <c r="U104" s="6"/>
      <c r="V104" s="6"/>
      <c r="W104" s="6"/>
      <c r="X104" s="2"/>
    </row>
    <row r="105" spans="2:24" x14ac:dyDescent="0.3">
      <c r="Q105" s="1"/>
      <c r="R105" s="1"/>
      <c r="S105" s="1"/>
      <c r="U105" s="6"/>
      <c r="V105" s="6"/>
      <c r="W105" s="6"/>
      <c r="X105" s="2"/>
    </row>
    <row r="106" spans="2:24" x14ac:dyDescent="0.3">
      <c r="Q106" s="1"/>
      <c r="R106" s="1"/>
      <c r="S106" s="1"/>
      <c r="U106" s="6"/>
      <c r="V106" s="6"/>
      <c r="W106" s="6"/>
      <c r="X106" s="2"/>
    </row>
    <row r="107" spans="2:24" x14ac:dyDescent="0.3">
      <c r="Q107" s="1"/>
      <c r="R107" s="1"/>
      <c r="S107" s="1"/>
      <c r="U107" s="6"/>
      <c r="V107" s="6"/>
      <c r="W107" s="6"/>
      <c r="X107" s="2"/>
    </row>
    <row r="108" spans="2:24" x14ac:dyDescent="0.3">
      <c r="Q108" s="1"/>
      <c r="R108" s="1"/>
      <c r="S108" s="1"/>
      <c r="U108" s="6"/>
      <c r="V108" s="6"/>
      <c r="W108" s="6"/>
      <c r="X108" s="2"/>
    </row>
    <row r="109" spans="2:24" x14ac:dyDescent="0.3">
      <c r="Q109" s="1"/>
      <c r="R109" s="1"/>
      <c r="S109" s="1"/>
      <c r="U109" s="6"/>
      <c r="V109" s="6"/>
      <c r="W109" s="6"/>
      <c r="X109" s="2"/>
    </row>
    <row r="110" spans="2:24" x14ac:dyDescent="0.3">
      <c r="Q110" s="1"/>
    </row>
    <row r="111" spans="2:24" x14ac:dyDescent="0.3">
      <c r="Q111" s="1"/>
    </row>
    <row r="112" spans="2:24" x14ac:dyDescent="0.3">
      <c r="Q112" s="1"/>
    </row>
  </sheetData>
  <sheetProtection algorithmName="SHA-512" hashValue="aMQwpAWTaCTbZGzWeqDymH5ohLbQEu6o8r0TKnFOUiUEo96SnfLD4Jlvutof7mxNUJoHQ2VTa5ZM/bJO5n7/iQ==" saltValue="4wk0Yzg/vt8Zc1FGPvO4Xw==" spinCount="100000" sheet="1" objects="1" scenarios="1"/>
  <mergeCells count="104">
    <mergeCell ref="D3:G4"/>
    <mergeCell ref="M3:P4"/>
    <mergeCell ref="U3:X4"/>
    <mergeCell ref="L33:L34"/>
    <mergeCell ref="M33:M34"/>
    <mergeCell ref="N33:N34"/>
    <mergeCell ref="U9:V10"/>
    <mergeCell ref="W31:X32"/>
    <mergeCell ref="X9:X11"/>
    <mergeCell ref="H9:H11"/>
    <mergeCell ref="N9:N11"/>
    <mergeCell ref="O9:O11"/>
    <mergeCell ref="M16:M17"/>
    <mergeCell ref="C27:I29"/>
    <mergeCell ref="C9:C11"/>
    <mergeCell ref="K5:Q7"/>
    <mergeCell ref="N12:N14"/>
    <mergeCell ref="O12:O14"/>
    <mergeCell ref="W16:W17"/>
    <mergeCell ref="S33:S34"/>
    <mergeCell ref="D9:D11"/>
    <mergeCell ref="E9:E11"/>
    <mergeCell ref="F9:F11"/>
    <mergeCell ref="K9:K11"/>
    <mergeCell ref="AA16:AA17"/>
    <mergeCell ref="D33:D34"/>
    <mergeCell ref="E33:E34"/>
    <mergeCell ref="F33:F34"/>
    <mergeCell ref="T33:T34"/>
    <mergeCell ref="U33:U34"/>
    <mergeCell ref="V33:V34"/>
    <mergeCell ref="T40:T41"/>
    <mergeCell ref="F37:F38"/>
    <mergeCell ref="K31:K32"/>
    <mergeCell ref="K27:Q29"/>
    <mergeCell ref="K33:K34"/>
    <mergeCell ref="W35:X35"/>
    <mergeCell ref="K16:K17"/>
    <mergeCell ref="L37:L38"/>
    <mergeCell ref="L16:L17"/>
    <mergeCell ref="N16:P16"/>
    <mergeCell ref="Q16:Q17"/>
    <mergeCell ref="M37:M38"/>
    <mergeCell ref="N37:N38"/>
    <mergeCell ref="O37:O38"/>
    <mergeCell ref="L31:N31"/>
    <mergeCell ref="V16:V17"/>
    <mergeCell ref="V40:V41"/>
    <mergeCell ref="B87:F87"/>
    <mergeCell ref="Y16:Z16"/>
    <mergeCell ref="T37:T38"/>
    <mergeCell ref="K37:K38"/>
    <mergeCell ref="S5:Y7"/>
    <mergeCell ref="S27:Y29"/>
    <mergeCell ref="X12:X14"/>
    <mergeCell ref="Y31:Z31"/>
    <mergeCell ref="T31:V31"/>
    <mergeCell ref="U16:U17"/>
    <mergeCell ref="M9:M11"/>
    <mergeCell ref="S16:S17"/>
    <mergeCell ref="T16:T17"/>
    <mergeCell ref="W9:W11"/>
    <mergeCell ref="H37:H38"/>
    <mergeCell ref="C5:I7"/>
    <mergeCell ref="Y9:Y11"/>
    <mergeCell ref="S9:S11"/>
    <mergeCell ref="T9:T11"/>
    <mergeCell ref="V37:V38"/>
    <mergeCell ref="Y12:Y14"/>
    <mergeCell ref="W37:W39"/>
    <mergeCell ref="X16:X17"/>
    <mergeCell ref="W40:W42"/>
    <mergeCell ref="C37:C38"/>
    <mergeCell ref="C33:C34"/>
    <mergeCell ref="D31:F31"/>
    <mergeCell ref="D37:D38"/>
    <mergeCell ref="C16:C17"/>
    <mergeCell ref="D16:D17"/>
    <mergeCell ref="E16:E17"/>
    <mergeCell ref="E37:E38"/>
    <mergeCell ref="C36:I36"/>
    <mergeCell ref="C31:C32"/>
    <mergeCell ref="G37:G38"/>
    <mergeCell ref="L9:L11"/>
    <mergeCell ref="G9:G11"/>
    <mergeCell ref="G12:G14"/>
    <mergeCell ref="H12:H14"/>
    <mergeCell ref="I37:I38"/>
    <mergeCell ref="F16:H16"/>
    <mergeCell ref="I16:I17"/>
    <mergeCell ref="S40:S41"/>
    <mergeCell ref="U40:U41"/>
    <mergeCell ref="G31:I35"/>
    <mergeCell ref="X37:Z42"/>
    <mergeCell ref="S36:Z36"/>
    <mergeCell ref="S31:S32"/>
    <mergeCell ref="K36:P36"/>
    <mergeCell ref="O31:P35"/>
    <mergeCell ref="P37:P38"/>
    <mergeCell ref="S37:S38"/>
    <mergeCell ref="U37:U38"/>
    <mergeCell ref="W33:X34"/>
    <mergeCell ref="Y33:Y34"/>
    <mergeCell ref="Z33:Z34"/>
  </mergeCells>
  <dataValidations count="18">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list" allowBlank="1" showInputMessage="1" showErrorMessage="1" prompt="Please Select Coverage" sqref="S49">
      <formula1>$S$18:$S$23</formula1>
    </dataValidation>
    <dataValidation type="list" allowBlank="1" showInputMessage="1" showErrorMessage="1" prompt="Please select coverage level_x000a_" sqref="X12">
      <formula1>$S$18:$S$23</formula1>
    </dataValidation>
    <dataValidation type="whole" allowBlank="1" showInputMessage="1" showErrorMessage="1" error="Exceeds total number  of insured trees Stage I" sqref="D33:D34">
      <formula1>0</formula1>
      <formula2>F12</formula2>
    </dataValidation>
    <dataValidation type="whole" allowBlank="1" showInputMessage="1" showErrorMessage="1" error="Exceed total number of insured trees Stage III" sqref="F33:F34">
      <formula1>0</formula1>
      <formula2>F14</formula2>
    </dataValidation>
    <dataValidation type="whole" allowBlank="1" showInputMessage="1" showErrorMessage="1" error="Exceeds total number of insured trees Stage II" sqref="E33:E34">
      <formula1>0</formula1>
      <formula2>F13</formula2>
    </dataValidation>
    <dataValidation type="whole" allowBlank="1" showInputMessage="1" showErrorMessage="1" error="Exceeds total number of insured trees Stage I" sqref="L33:L34">
      <formula1>0</formula1>
      <formula2>M12</formula2>
    </dataValidation>
    <dataValidation type="whole" allowBlank="1" showInputMessage="1" showErrorMessage="1" error="Exceeds total number of insured trees Stage II" sqref="M33:M34">
      <formula1>0</formula1>
      <formula2>M13</formula2>
    </dataValidation>
    <dataValidation type="whole" allowBlank="1" showInputMessage="1" showErrorMessage="1" error="Exceeds total number of insured trees Stage  III " sqref="N33:N34">
      <formula1>0</formula1>
      <formula2>M14</formula2>
    </dataValidation>
    <dataValidation type="whole" allowBlank="1" showInputMessage="1" showErrorMessage="1" error="Exceeds total number pf insured trees Stage I" sqref="T33:T34">
      <formula1>0</formula1>
      <formula2>W12</formula2>
    </dataValidation>
    <dataValidation type="whole" allowBlank="1" showInputMessage="1" showErrorMessage="1" error="Exceeds total number of insured trees Stage II" sqref="U33:U34">
      <formula1>0</formula1>
      <formula2>W13</formula2>
    </dataValidation>
    <dataValidation type="whole" allowBlank="1" showInputMessage="1" showErrorMessage="1" error="Exceeds total number of insured trees Stage III" sqref="V33:V34">
      <formula1>0</formula1>
      <formula2>W14</formula2>
    </dataValidation>
    <dataValidation type="whole" allowBlank="1" showInputMessage="1" showErrorMessage="1" error="Exceeds total number of insured trees Stage II" sqref="Z27">
      <formula1>0</formula1>
      <formula2>W13</formula2>
    </dataValidation>
    <dataValidation type="whole" allowBlank="1" showInputMessage="1" showErrorMessage="1" error="Exceeds total number of insured trees Stage II" sqref="Y33:Y34">
      <formula1>0</formula1>
      <formula2>W13</formula2>
    </dataValidation>
    <dataValidation type="whole" allowBlank="1" showInputMessage="1" showErrorMessage="1" error="Exceeds total number of insured trees Stage II" sqref="Y35">
      <formula1>0</formula1>
      <formula2>W13</formula2>
    </dataValidation>
    <dataValidation type="whole" allowBlank="1" showInputMessage="1" showErrorMessage="1" error="Exceeds total number of insured trees Stage III" sqref="Z33:Z34">
      <formula1>0</formula1>
      <formula2>W14</formula2>
    </dataValidation>
    <dataValidation type="whole" allowBlank="1" showInputMessage="1" showErrorMessage="1" error="Exceeds total number of insured trees Stage III" sqref="Z35">
      <formula1>0</formula1>
      <formula2>W14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9">
        <x14:dataValidation type="list" allowBlank="1" showInputMessage="1" showErrorMessage="1" prompt="Please select %">
          <x14:formula1>
            <xm:f>'Avoc rates'!$G$4:$G$24</xm:f>
          </x14:formula1>
          <xm:sqref>D35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rates'!$H$4:$H$24</xm:f>
          </x14:formula1>
          <xm:sqref>M35</xm:sqref>
        </x14:dataValidation>
        <x14:dataValidation type="list" allowBlank="1" showInputMessage="1" showErrorMessage="1" prompt="Please select % damage_x000a_">
          <x14:formula1>
            <xm:f>'Avoc rates'!$G$4:$G$24</xm:f>
          </x14:formula1>
          <xm:sqref>T35</xm:sqref>
        </x14:dataValidation>
        <x14:dataValidation type="list" allowBlank="1" showInputMessage="1" showErrorMessage="1" prompt="Please select % damage_x000a_">
          <x14:formula1>
            <xm:f>'Avoc rates'!$H$4:$H$24</xm:f>
          </x14:formula1>
          <xm:sqref>U35</xm:sqref>
        </x14:dataValidation>
        <x14:dataValidation type="list" allowBlank="1" showInputMessage="1" showErrorMessage="1" prompt="Please select % damage_x000a_">
          <x14:formula1>
            <xm:f>'Avoc rates'!$I$4:$I$24</xm:f>
          </x14:formula1>
          <xm:sqref>V35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2"/>
  <sheetViews>
    <sheetView topLeftCell="E22" zoomScale="120" zoomScaleNormal="120" workbookViewId="0">
      <selection activeCell="Q33" sqref="Q33"/>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s>
  <sheetData>
    <row r="3" spans="2:17" ht="14.4" customHeight="1" x14ac:dyDescent="0.3">
      <c r="D3" s="279" t="s">
        <v>26</v>
      </c>
      <c r="E3" s="279"/>
      <c r="F3" s="279"/>
      <c r="G3" s="279"/>
      <c r="M3" s="280" t="s">
        <v>27</v>
      </c>
      <c r="N3" s="280"/>
      <c r="O3" s="280"/>
      <c r="P3" s="280"/>
    </row>
    <row r="4" spans="2:17" x14ac:dyDescent="0.3">
      <c r="D4" s="279"/>
      <c r="E4" s="279"/>
      <c r="F4" s="279"/>
      <c r="G4" s="279"/>
      <c r="M4" s="280"/>
      <c r="N4" s="280"/>
      <c r="O4" s="280"/>
      <c r="P4" s="280"/>
    </row>
    <row r="5" spans="2:17" ht="14.4" customHeight="1" x14ac:dyDescent="0.3">
      <c r="C5" s="251" t="s">
        <v>76</v>
      </c>
      <c r="D5" s="251"/>
      <c r="E5" s="251"/>
      <c r="F5" s="251"/>
      <c r="G5" s="251"/>
      <c r="H5" s="251"/>
      <c r="I5" s="251"/>
      <c r="K5" s="251" t="s">
        <v>76</v>
      </c>
      <c r="L5" s="251"/>
      <c r="M5" s="251"/>
      <c r="N5" s="251"/>
      <c r="O5" s="251"/>
      <c r="P5" s="251"/>
      <c r="Q5" s="251"/>
    </row>
    <row r="6" spans="2:17" ht="14.4" customHeight="1" x14ac:dyDescent="0.3">
      <c r="C6" s="251"/>
      <c r="D6" s="251"/>
      <c r="E6" s="251"/>
      <c r="F6" s="251"/>
      <c r="G6" s="251"/>
      <c r="H6" s="251"/>
      <c r="I6" s="251"/>
      <c r="K6" s="251"/>
      <c r="L6" s="251"/>
      <c r="M6" s="251"/>
      <c r="N6" s="251"/>
      <c r="O6" s="251"/>
      <c r="P6" s="251"/>
      <c r="Q6" s="251"/>
    </row>
    <row r="7" spans="2:17" ht="14.4" customHeight="1" x14ac:dyDescent="0.3">
      <c r="C7" s="251"/>
      <c r="D7" s="251"/>
      <c r="E7" s="251"/>
      <c r="F7" s="251"/>
      <c r="G7" s="251"/>
      <c r="H7" s="251"/>
      <c r="I7" s="251"/>
      <c r="K7" s="251"/>
      <c r="L7" s="251"/>
      <c r="M7" s="251"/>
      <c r="N7" s="251"/>
      <c r="O7" s="251"/>
      <c r="P7" s="251"/>
      <c r="Q7" s="251"/>
    </row>
    <row r="8" spans="2:17" x14ac:dyDescent="0.3">
      <c r="C8" s="8"/>
      <c r="D8" s="8"/>
      <c r="E8" s="8"/>
      <c r="F8" s="8"/>
      <c r="G8" s="8"/>
      <c r="H8" s="8"/>
      <c r="I8" s="8"/>
      <c r="Q8" s="111"/>
    </row>
    <row r="9" spans="2:17" ht="14.4" customHeight="1" x14ac:dyDescent="0.3">
      <c r="B9" s="49"/>
      <c r="C9" s="230" t="s">
        <v>73</v>
      </c>
      <c r="D9" s="242" t="s">
        <v>58</v>
      </c>
      <c r="E9" s="219" t="s">
        <v>40</v>
      </c>
      <c r="F9" s="219" t="s">
        <v>41</v>
      </c>
      <c r="G9" s="230" t="s">
        <v>42</v>
      </c>
      <c r="H9" s="230" t="s">
        <v>25</v>
      </c>
      <c r="I9" s="8"/>
      <c r="K9" s="242" t="s">
        <v>73</v>
      </c>
      <c r="L9" s="219" t="s">
        <v>59</v>
      </c>
      <c r="M9" s="242" t="s">
        <v>49</v>
      </c>
      <c r="N9" s="242" t="s">
        <v>42</v>
      </c>
      <c r="O9" s="230" t="s">
        <v>25</v>
      </c>
      <c r="Q9" s="4"/>
    </row>
    <row r="10" spans="2:17" x14ac:dyDescent="0.3">
      <c r="B10" s="49"/>
      <c r="C10" s="231"/>
      <c r="D10" s="247"/>
      <c r="E10" s="229"/>
      <c r="F10" s="229"/>
      <c r="G10" s="231"/>
      <c r="H10" s="231"/>
      <c r="I10" s="8"/>
      <c r="K10" s="247"/>
      <c r="L10" s="229"/>
      <c r="M10" s="247"/>
      <c r="N10" s="247"/>
      <c r="O10" s="231"/>
      <c r="Q10" s="4"/>
    </row>
    <row r="11" spans="2:17" x14ac:dyDescent="0.3">
      <c r="B11" s="49"/>
      <c r="C11" s="231"/>
      <c r="D11" s="243"/>
      <c r="E11" s="220"/>
      <c r="F11" s="220"/>
      <c r="G11" s="231"/>
      <c r="H11" s="231"/>
      <c r="I11" s="8"/>
      <c r="K11" s="243"/>
      <c r="L11" s="220"/>
      <c r="M11" s="243"/>
      <c r="N11" s="247"/>
      <c r="O11" s="231"/>
      <c r="Q11" s="4"/>
    </row>
    <row r="12" spans="2:17" x14ac:dyDescent="0.3">
      <c r="B12" s="49"/>
      <c r="C12" s="106" t="s">
        <v>0</v>
      </c>
      <c r="D12" s="55">
        <v>75</v>
      </c>
      <c r="E12" s="101">
        <v>41.25</v>
      </c>
      <c r="F12" s="176">
        <v>0</v>
      </c>
      <c r="G12" s="232">
        <v>0.75</v>
      </c>
      <c r="H12" s="235">
        <f>IF(G12=75%,I$18,IF(G12=70%,I$19,IF(G12=65%,I20,IF(G12=60%,I$21,IF(G12=55%,I22,IF(G12=50%,I23))))))</f>
        <v>0</v>
      </c>
      <c r="I12" s="8"/>
      <c r="K12" s="60" t="s">
        <v>0</v>
      </c>
      <c r="L12" s="69">
        <v>75</v>
      </c>
      <c r="M12" s="183">
        <v>0</v>
      </c>
      <c r="N12" s="253">
        <v>0.75</v>
      </c>
      <c r="O12" s="235">
        <f>IF(N12=75%,Q18,IF(N12=70%,Q19,IF(N12=65%,Q20,IF(N12=60%,Q21,IF(N12=55%,Q22,IF(N12=50%,Q23))))))</f>
        <v>0</v>
      </c>
      <c r="Q12" s="4"/>
    </row>
    <row r="13" spans="2:17" x14ac:dyDescent="0.3">
      <c r="B13" s="49"/>
      <c r="C13" s="107" t="s">
        <v>1</v>
      </c>
      <c r="D13" s="104">
        <v>122</v>
      </c>
      <c r="E13" s="102">
        <v>67.099999999999994</v>
      </c>
      <c r="F13" s="177">
        <v>0</v>
      </c>
      <c r="G13" s="233"/>
      <c r="H13" s="236"/>
      <c r="I13" s="8"/>
      <c r="K13" s="60" t="s">
        <v>1</v>
      </c>
      <c r="L13" s="69">
        <v>122</v>
      </c>
      <c r="M13" s="169">
        <v>0</v>
      </c>
      <c r="N13" s="254"/>
      <c r="O13" s="236"/>
      <c r="Q13" s="5"/>
    </row>
    <row r="14" spans="2:17" x14ac:dyDescent="0.3">
      <c r="B14" s="49"/>
      <c r="C14" s="108" t="s">
        <v>2</v>
      </c>
      <c r="D14" s="105">
        <v>173</v>
      </c>
      <c r="E14" s="103">
        <v>95.15</v>
      </c>
      <c r="F14" s="178">
        <v>0</v>
      </c>
      <c r="G14" s="234"/>
      <c r="H14" s="237"/>
      <c r="I14" s="8"/>
      <c r="K14" s="61" t="s">
        <v>2</v>
      </c>
      <c r="L14" s="70">
        <v>173</v>
      </c>
      <c r="M14" s="170">
        <v>0</v>
      </c>
      <c r="N14" s="255"/>
      <c r="O14" s="237"/>
      <c r="Q14" s="5"/>
    </row>
    <row r="15" spans="2:17" ht="14.4" customHeight="1" x14ac:dyDescent="0.3">
      <c r="C15" s="82"/>
      <c r="D15" s="82"/>
      <c r="E15" s="82"/>
      <c r="F15" s="82"/>
      <c r="G15" s="82"/>
      <c r="H15" s="82"/>
      <c r="I15" s="8"/>
      <c r="N15" s="86"/>
      <c r="O15" s="86"/>
      <c r="P15" s="4"/>
      <c r="Q15" s="5"/>
    </row>
    <row r="16" spans="2:17" ht="14.4" customHeight="1" x14ac:dyDescent="0.3">
      <c r="B16" s="49"/>
      <c r="C16" s="230" t="s">
        <v>53</v>
      </c>
      <c r="D16" s="219" t="s">
        <v>54</v>
      </c>
      <c r="E16" s="230" t="s">
        <v>55</v>
      </c>
      <c r="F16" s="240" t="s">
        <v>56</v>
      </c>
      <c r="G16" s="240"/>
      <c r="H16" s="241"/>
      <c r="I16" s="230" t="s">
        <v>25</v>
      </c>
      <c r="K16" s="219" t="s">
        <v>53</v>
      </c>
      <c r="L16" s="242" t="s">
        <v>54</v>
      </c>
      <c r="M16" s="242" t="s">
        <v>57</v>
      </c>
      <c r="N16" s="275" t="s">
        <v>22</v>
      </c>
      <c r="O16" s="276"/>
      <c r="P16" s="277"/>
      <c r="Q16" s="242" t="s">
        <v>25</v>
      </c>
    </row>
    <row r="17" spans="1:17" ht="14.4" customHeight="1" x14ac:dyDescent="0.3">
      <c r="B17" s="49"/>
      <c r="C17" s="231"/>
      <c r="D17" s="229"/>
      <c r="E17" s="231"/>
      <c r="F17" s="56" t="s">
        <v>6</v>
      </c>
      <c r="G17" s="56" t="s">
        <v>4</v>
      </c>
      <c r="H17" s="141" t="s">
        <v>5</v>
      </c>
      <c r="I17" s="231"/>
      <c r="K17" s="229"/>
      <c r="L17" s="247"/>
      <c r="M17" s="247"/>
      <c r="N17" s="140" t="s">
        <v>6</v>
      </c>
      <c r="O17" s="140" t="s">
        <v>4</v>
      </c>
      <c r="P17" s="140" t="s">
        <v>5</v>
      </c>
      <c r="Q17" s="247"/>
    </row>
    <row r="18" spans="1:17" x14ac:dyDescent="0.3">
      <c r="B18" s="49"/>
      <c r="C18" s="98">
        <v>0.75</v>
      </c>
      <c r="D18" s="148">
        <f t="shared" ref="D18:D23" si="0">((F$12*D$12)+(F$13*D$13)+(F$14*D$14))*C18</f>
        <v>0</v>
      </c>
      <c r="E18" s="149">
        <f>((F$12*D$12)+(F$13*D$13)+(F$14*D$14))*0.25</f>
        <v>0</v>
      </c>
      <c r="F18" s="150">
        <f>F12*D12* ' Caram rates'!B3*0.45*C18</f>
        <v>0</v>
      </c>
      <c r="G18" s="150">
        <f>ROUND(F13*D13* ' Caram rates'!C3*0.45*C18,0)</f>
        <v>0</v>
      </c>
      <c r="H18" s="149">
        <f>ROUND(F14*D14* ' Caram rates'!D3*0.45*C18,0)</f>
        <v>0</v>
      </c>
      <c r="I18" s="151">
        <f t="shared" ref="I18:I23" si="1">F18+G18+H18</f>
        <v>0</v>
      </c>
      <c r="K18" s="57">
        <v>0.75</v>
      </c>
      <c r="L18" s="160">
        <f>((L12*M12)+(L13*M13)+(L14*M14))*K18</f>
        <v>0</v>
      </c>
      <c r="M18" s="160">
        <f t="shared" ref="M18:M23" si="2">L18*0.05</f>
        <v>0</v>
      </c>
      <c r="N18" s="160">
        <f>L12*M12*' Caram rates'!B13*0.45*K18</f>
        <v>0</v>
      </c>
      <c r="O18" s="160">
        <f>L13*M13*' Caram rates'!C13*0.45*K18</f>
        <v>0</v>
      </c>
      <c r="P18" s="160">
        <f>L14*M14*' Caram rates'!D13*0.45*K18</f>
        <v>0</v>
      </c>
      <c r="Q18" s="160">
        <f t="shared" ref="Q18:Q23" si="3">N18+O18+P18</f>
        <v>0</v>
      </c>
    </row>
    <row r="19" spans="1:17" x14ac:dyDescent="0.3">
      <c r="B19" s="49"/>
      <c r="C19" s="99">
        <v>0.7</v>
      </c>
      <c r="D19" s="152">
        <f t="shared" si="0"/>
        <v>0</v>
      </c>
      <c r="E19" s="153">
        <f>((F$12*D$12)+(F$13*D$13)+(F$14*D$14))*0.3</f>
        <v>0</v>
      </c>
      <c r="F19" s="154">
        <f>F12*D12* ' Caram rates'!B4*0.41*C19</f>
        <v>0</v>
      </c>
      <c r="G19" s="154">
        <f>F13*D13*' Caram rates'!C4*0.41*C19</f>
        <v>0</v>
      </c>
      <c r="H19" s="153">
        <f>F14*D14* ' Caram rates'!D4*0.41*C19</f>
        <v>0</v>
      </c>
      <c r="I19" s="153">
        <f t="shared" si="1"/>
        <v>0</v>
      </c>
      <c r="K19" s="67">
        <v>0.7</v>
      </c>
      <c r="L19" s="161">
        <f>((L12*M12+L13*M13+L14*M14))*K19</f>
        <v>0</v>
      </c>
      <c r="M19" s="161">
        <f t="shared" si="2"/>
        <v>0</v>
      </c>
      <c r="N19" s="161">
        <f>L12*M12*' Caram rates'!B14*0.41*K19</f>
        <v>0</v>
      </c>
      <c r="O19" s="161">
        <f>L13*M13*' Caram rates'!C14*0.41*K19</f>
        <v>0</v>
      </c>
      <c r="P19" s="161">
        <f>L14*M14*' Caram rates'!D14*0.41*K19</f>
        <v>0</v>
      </c>
      <c r="Q19" s="161">
        <f t="shared" si="3"/>
        <v>0</v>
      </c>
    </row>
    <row r="20" spans="1:17" x14ac:dyDescent="0.3">
      <c r="B20" s="49"/>
      <c r="C20" s="99">
        <v>0.65</v>
      </c>
      <c r="D20" s="152">
        <f t="shared" si="0"/>
        <v>0</v>
      </c>
      <c r="E20" s="153">
        <f>((F$12*D$12)+(F$13*D$13)+(F$14*D$14))*0.35</f>
        <v>0</v>
      </c>
      <c r="F20" s="154">
        <f>F12*D12*' Caram rates'!B5*0.41*C20</f>
        <v>0</v>
      </c>
      <c r="G20" s="154">
        <f>F13*D13* ' Caram rates'!C5*0.41*C20</f>
        <v>0</v>
      </c>
      <c r="H20" s="153">
        <f>F14*D14* ' Caram rates'!D5*0.41*C20</f>
        <v>0</v>
      </c>
      <c r="I20" s="153">
        <f t="shared" si="1"/>
        <v>0</v>
      </c>
      <c r="K20" s="67">
        <v>0.65</v>
      </c>
      <c r="L20" s="161">
        <f>((L12*M12+L13*M13+L14*M14))*K20</f>
        <v>0</v>
      </c>
      <c r="M20" s="161">
        <f t="shared" si="2"/>
        <v>0</v>
      </c>
      <c r="N20" s="161">
        <f>L12*M12*' Caram rates'!B15*0.41*K20</f>
        <v>0</v>
      </c>
      <c r="O20" s="161">
        <f>L13*M13*' Caram rates'!C15*0.41*K20</f>
        <v>0</v>
      </c>
      <c r="P20" s="161">
        <f>L14*M14*' Caram rates'!D15*0.41*K20</f>
        <v>0</v>
      </c>
      <c r="Q20" s="161">
        <f t="shared" si="3"/>
        <v>0</v>
      </c>
    </row>
    <row r="21" spans="1:17" x14ac:dyDescent="0.3">
      <c r="B21" s="49"/>
      <c r="C21" s="99">
        <v>0.6</v>
      </c>
      <c r="D21" s="152">
        <f t="shared" si="0"/>
        <v>0</v>
      </c>
      <c r="E21" s="153">
        <f>((F$12*D$12)+(F$13*D$13)+(F$14*D$14))*0.4</f>
        <v>0</v>
      </c>
      <c r="F21" s="154">
        <f>F12*D12* ' Caram rates'!B6*0.36*C21</f>
        <v>0</v>
      </c>
      <c r="G21" s="154">
        <f>F13*D13*' Caram rates'!C6*0.36*C21</f>
        <v>0</v>
      </c>
      <c r="H21" s="153">
        <f>F14*D14* ' Caram rates'!D6*0.36*C21</f>
        <v>0</v>
      </c>
      <c r="I21" s="153">
        <f t="shared" si="1"/>
        <v>0</v>
      </c>
      <c r="K21" s="67">
        <v>0.6</v>
      </c>
      <c r="L21" s="161">
        <f>((L12*M12+L13*M13+L14*M14))*K21</f>
        <v>0</v>
      </c>
      <c r="M21" s="161">
        <f t="shared" si="2"/>
        <v>0</v>
      </c>
      <c r="N21" s="161">
        <f>L12*M12*' Caram rates'!B16*0.36*K21</f>
        <v>0</v>
      </c>
      <c r="O21" s="161">
        <f>L13*M13*' Caram rates'!C16*0.36*K21</f>
        <v>0</v>
      </c>
      <c r="P21" s="161">
        <f>L14*M14*' Caram rates'!D16*0.36*K21</f>
        <v>0</v>
      </c>
      <c r="Q21" s="161">
        <f t="shared" si="3"/>
        <v>0</v>
      </c>
    </row>
    <row r="22" spans="1:17" x14ac:dyDescent="0.3">
      <c r="B22" s="49"/>
      <c r="C22" s="99">
        <v>0.55000000000000004</v>
      </c>
      <c r="D22" s="152">
        <f t="shared" si="0"/>
        <v>0</v>
      </c>
      <c r="E22" s="153">
        <f>((F$12*D$12)+(F$13*D$13)+(F$14*D$14))*0.45</f>
        <v>0</v>
      </c>
      <c r="F22" s="154">
        <f>F12*D12*' Caram rates'!B7*0.36*C22</f>
        <v>0</v>
      </c>
      <c r="G22" s="154">
        <f>F13*D13*' Caram rates'!C7 *0.36*C22</f>
        <v>0</v>
      </c>
      <c r="H22" s="153">
        <f>F14*D14*' Caram rates'!D7*0.36*C22</f>
        <v>0</v>
      </c>
      <c r="I22" s="153">
        <f t="shared" si="1"/>
        <v>0</v>
      </c>
      <c r="K22" s="67">
        <v>0.55000000000000004</v>
      </c>
      <c r="L22" s="161">
        <f>((L12*M12+L13*M13+L14*M14))*K22</f>
        <v>0</v>
      </c>
      <c r="M22" s="161">
        <f t="shared" si="2"/>
        <v>0</v>
      </c>
      <c r="N22" s="161">
        <f>L12*M12*' Caram rates'!B17*0.36*K22</f>
        <v>0</v>
      </c>
      <c r="O22" s="161">
        <f>L13*M13*' Caram rates'!C17*0.36*K22</f>
        <v>0</v>
      </c>
      <c r="P22" s="161">
        <f>L14*M14*' Caram rates'!D17*0.36*K22</f>
        <v>0</v>
      </c>
      <c r="Q22" s="161">
        <f t="shared" si="3"/>
        <v>0</v>
      </c>
    </row>
    <row r="23" spans="1:17" x14ac:dyDescent="0.3">
      <c r="B23" s="49"/>
      <c r="C23" s="99">
        <v>0.5</v>
      </c>
      <c r="D23" s="152">
        <f t="shared" si="0"/>
        <v>0</v>
      </c>
      <c r="E23" s="153">
        <f>((F$12*D$12)+(F$13*D$13)+(F$14*D$14))*0.5</f>
        <v>0</v>
      </c>
      <c r="F23" s="154">
        <f>F12*D12*' Caram rates'!B8*0.33*C23</f>
        <v>0</v>
      </c>
      <c r="G23" s="154">
        <f>F13*D13*' Caram rates'!C8*0.33*C23</f>
        <v>0</v>
      </c>
      <c r="H23" s="153">
        <f>F14*D14*' Caram rates'!D8*0.33*C23</f>
        <v>0</v>
      </c>
      <c r="I23" s="153">
        <f t="shared" si="1"/>
        <v>0</v>
      </c>
      <c r="K23" s="68">
        <v>0.5</v>
      </c>
      <c r="L23" s="162">
        <f>((L12*M12+L13*M13+L14*M14))*K23</f>
        <v>0</v>
      </c>
      <c r="M23" s="162">
        <f t="shared" si="2"/>
        <v>0</v>
      </c>
      <c r="N23" s="162">
        <f>L12*M12*' Caram rates'!B18*0.33*K23</f>
        <v>0</v>
      </c>
      <c r="O23" s="162">
        <f>L13*M13*' Caram rates'!C18*0.33*K23</f>
        <v>0</v>
      </c>
      <c r="P23" s="162">
        <f>L14*M14*' Caram rates'!D18*0.33*K23</f>
        <v>0</v>
      </c>
      <c r="Q23" s="162">
        <f t="shared" si="3"/>
        <v>0</v>
      </c>
    </row>
    <row r="24" spans="1:17" ht="14.4" customHeight="1" x14ac:dyDescent="0.3">
      <c r="A24" s="8"/>
      <c r="B24" s="49"/>
      <c r="C24" s="109" t="s">
        <v>18</v>
      </c>
      <c r="D24" s="155">
        <f>ROUND((F12*E12*0.5)+(F13*E13*0.5)+(F14*E14*0.5),0)</f>
        <v>0</v>
      </c>
      <c r="E24" s="156" t="s">
        <v>19</v>
      </c>
      <c r="F24" s="157" t="s">
        <v>19</v>
      </c>
      <c r="G24" s="157" t="s">
        <v>19</v>
      </c>
      <c r="H24" s="158" t="s">
        <v>19</v>
      </c>
      <c r="I24" s="159" t="s">
        <v>19</v>
      </c>
      <c r="J24" s="8"/>
      <c r="K24" s="8"/>
      <c r="L24" s="8"/>
      <c r="M24" s="8"/>
      <c r="N24" s="8"/>
      <c r="O24" s="8"/>
      <c r="P24" s="4"/>
      <c r="Q24" s="5"/>
    </row>
    <row r="25" spans="1:17" x14ac:dyDescent="0.3">
      <c r="A25" s="8"/>
      <c r="C25" s="81"/>
      <c r="D25" s="81"/>
      <c r="E25" s="81"/>
      <c r="F25" s="81"/>
      <c r="G25" s="81"/>
      <c r="H25" s="81"/>
      <c r="I25" s="48"/>
      <c r="J25" s="8"/>
      <c r="K25" s="8"/>
      <c r="L25" s="8"/>
      <c r="M25" s="8"/>
      <c r="N25" s="8"/>
      <c r="O25" s="8"/>
      <c r="P25" s="4"/>
      <c r="Q25" s="5"/>
    </row>
    <row r="26" spans="1:17" ht="14.4" customHeight="1" x14ac:dyDescent="0.3">
      <c r="A26" s="8"/>
      <c r="C26" s="74"/>
      <c r="D26" s="74"/>
      <c r="E26" s="74"/>
      <c r="F26" s="74"/>
      <c r="G26" s="74"/>
      <c r="H26" s="74"/>
      <c r="I26" s="8"/>
      <c r="J26" s="8"/>
      <c r="K26" s="8"/>
      <c r="L26" s="8"/>
      <c r="M26" s="8"/>
      <c r="N26" s="8"/>
      <c r="O26" s="8"/>
      <c r="P26" s="4"/>
      <c r="Q26" s="5"/>
    </row>
    <row r="27" spans="1:17" ht="14.4" customHeight="1" x14ac:dyDescent="0.3">
      <c r="A27" s="8"/>
      <c r="C27" s="252" t="s">
        <v>77</v>
      </c>
      <c r="D27" s="252"/>
      <c r="E27" s="252"/>
      <c r="F27" s="252"/>
      <c r="G27" s="252"/>
      <c r="H27" s="252"/>
      <c r="I27" s="252"/>
      <c r="J27" s="8"/>
      <c r="K27" s="252" t="s">
        <v>77</v>
      </c>
      <c r="L27" s="252"/>
      <c r="M27" s="252"/>
      <c r="N27" s="252"/>
      <c r="O27" s="252"/>
      <c r="P27" s="252"/>
      <c r="Q27" s="252"/>
    </row>
    <row r="28" spans="1:17" x14ac:dyDescent="0.3">
      <c r="A28" s="8"/>
      <c r="C28" s="252"/>
      <c r="D28" s="252"/>
      <c r="E28" s="252"/>
      <c r="F28" s="252"/>
      <c r="G28" s="252"/>
      <c r="H28" s="252"/>
      <c r="I28" s="252"/>
      <c r="J28" s="8"/>
      <c r="K28" s="252"/>
      <c r="L28" s="252"/>
      <c r="M28" s="252"/>
      <c r="N28" s="252"/>
      <c r="O28" s="252"/>
      <c r="P28" s="252"/>
      <c r="Q28" s="252"/>
    </row>
    <row r="29" spans="1:17" x14ac:dyDescent="0.3">
      <c r="A29" s="8"/>
      <c r="C29" s="252"/>
      <c r="D29" s="252"/>
      <c r="E29" s="252"/>
      <c r="F29" s="252"/>
      <c r="G29" s="252"/>
      <c r="H29" s="252"/>
      <c r="I29" s="252"/>
      <c r="J29" s="8"/>
      <c r="K29" s="252"/>
      <c r="L29" s="252"/>
      <c r="M29" s="252"/>
      <c r="N29" s="252"/>
      <c r="O29" s="252"/>
      <c r="P29" s="252"/>
      <c r="Q29" s="252"/>
    </row>
    <row r="30" spans="1:17" ht="14.4" customHeight="1" x14ac:dyDescent="0.3">
      <c r="A30" s="8"/>
      <c r="C30" s="8"/>
      <c r="D30" s="8"/>
      <c r="E30" s="8"/>
      <c r="F30" s="8"/>
      <c r="G30" s="8"/>
      <c r="H30" s="8"/>
      <c r="I30" s="8"/>
      <c r="J30" s="8"/>
      <c r="K30" s="8"/>
      <c r="L30" s="8"/>
      <c r="M30" s="8"/>
      <c r="N30" s="8"/>
      <c r="O30" s="8"/>
      <c r="P30" s="4"/>
      <c r="Q30" s="5"/>
    </row>
    <row r="31" spans="1:17" ht="14.4" customHeight="1" x14ac:dyDescent="0.3">
      <c r="A31" s="8"/>
      <c r="B31" s="49"/>
      <c r="C31" s="214"/>
      <c r="D31" s="244" t="s">
        <v>11</v>
      </c>
      <c r="E31" s="245"/>
      <c r="F31" s="246"/>
      <c r="G31" s="113"/>
      <c r="H31" s="8"/>
      <c r="I31" s="143"/>
      <c r="J31" s="49"/>
      <c r="K31" s="271"/>
      <c r="L31" s="278" t="s">
        <v>11</v>
      </c>
      <c r="M31" s="240"/>
      <c r="N31" s="241"/>
      <c r="O31" s="218"/>
      <c r="Q31" s="5"/>
    </row>
    <row r="32" spans="1:17" ht="14.4" customHeight="1" x14ac:dyDescent="0.3">
      <c r="A32" s="8"/>
      <c r="B32" s="49"/>
      <c r="C32" s="215"/>
      <c r="D32" s="140" t="s">
        <v>6</v>
      </c>
      <c r="E32" s="140" t="s">
        <v>4</v>
      </c>
      <c r="F32" s="142" t="s">
        <v>5</v>
      </c>
      <c r="G32" s="113"/>
      <c r="H32" s="8"/>
      <c r="I32" s="8"/>
      <c r="J32" s="49"/>
      <c r="K32" s="272"/>
      <c r="L32" s="56" t="s">
        <v>6</v>
      </c>
      <c r="M32" s="56" t="s">
        <v>4</v>
      </c>
      <c r="N32" s="141" t="s">
        <v>5</v>
      </c>
      <c r="O32" s="218"/>
      <c r="Q32" s="5"/>
    </row>
    <row r="33" spans="1:21" ht="14.4" customHeight="1" x14ac:dyDescent="0.3">
      <c r="A33" s="8"/>
      <c r="B33" s="49"/>
      <c r="C33" s="219" t="s">
        <v>20</v>
      </c>
      <c r="D33" s="291">
        <v>0</v>
      </c>
      <c r="E33" s="227">
        <v>0</v>
      </c>
      <c r="F33" s="268">
        <v>0</v>
      </c>
      <c r="G33" s="73"/>
      <c r="H33" s="8"/>
      <c r="I33" s="8"/>
      <c r="J33" s="97"/>
      <c r="K33" s="242" t="s">
        <v>20</v>
      </c>
      <c r="L33" s="293">
        <v>0</v>
      </c>
      <c r="M33" s="281">
        <v>0</v>
      </c>
      <c r="N33" s="268">
        <v>0</v>
      </c>
      <c r="O33" s="8"/>
      <c r="Q33" s="5"/>
      <c r="R33" s="111"/>
      <c r="S33" s="111"/>
      <c r="T33" s="77"/>
      <c r="U33" s="77"/>
    </row>
    <row r="34" spans="1:21" ht="14.4" customHeight="1" x14ac:dyDescent="0.3">
      <c r="A34" s="8"/>
      <c r="B34" s="49"/>
      <c r="C34" s="229"/>
      <c r="D34" s="292"/>
      <c r="E34" s="267"/>
      <c r="F34" s="269"/>
      <c r="G34" s="73"/>
      <c r="H34" s="8"/>
      <c r="I34" s="8"/>
      <c r="J34" s="49"/>
      <c r="K34" s="243"/>
      <c r="L34" s="294"/>
      <c r="M34" s="282"/>
      <c r="N34" s="270"/>
      <c r="O34" s="8"/>
      <c r="Q34" s="5"/>
      <c r="R34" s="111"/>
      <c r="S34" s="111"/>
      <c r="T34" s="78"/>
      <c r="U34" s="77"/>
    </row>
    <row r="35" spans="1:21" ht="14.4" customHeight="1" x14ac:dyDescent="0.3">
      <c r="A35" s="8"/>
      <c r="B35" s="49"/>
      <c r="C35" s="53" t="s">
        <v>21</v>
      </c>
      <c r="D35" s="182">
        <v>0</v>
      </c>
      <c r="E35" s="180">
        <v>0</v>
      </c>
      <c r="F35" s="181">
        <v>0</v>
      </c>
      <c r="G35" s="73"/>
      <c r="H35" s="8"/>
      <c r="I35" s="8"/>
      <c r="J35" s="49"/>
      <c r="K35" s="53" t="s">
        <v>21</v>
      </c>
      <c r="L35" s="184">
        <v>0</v>
      </c>
      <c r="M35" s="173">
        <v>0</v>
      </c>
      <c r="N35" s="174">
        <v>0</v>
      </c>
      <c r="O35" s="8"/>
      <c r="Q35" s="5"/>
    </row>
    <row r="36" spans="1:21" ht="14.4" customHeight="1" x14ac:dyDescent="0.3">
      <c r="A36" s="8"/>
      <c r="C36" s="48"/>
      <c r="D36" s="48"/>
      <c r="E36" s="48"/>
      <c r="F36" s="48"/>
      <c r="G36" s="8"/>
      <c r="H36" s="8"/>
      <c r="I36" s="8"/>
      <c r="J36" s="8"/>
      <c r="Q36" s="5"/>
    </row>
    <row r="37" spans="1:21" ht="14.4" customHeight="1" x14ac:dyDescent="0.3">
      <c r="A37" s="8"/>
      <c r="B37" s="49"/>
      <c r="C37" s="219" t="s">
        <v>46</v>
      </c>
      <c r="D37" s="242" t="s">
        <v>50</v>
      </c>
      <c r="E37" s="242" t="s">
        <v>51</v>
      </c>
      <c r="F37" s="242" t="s">
        <v>31</v>
      </c>
      <c r="G37" s="242" t="s">
        <v>39</v>
      </c>
      <c r="H37" s="242" t="s">
        <v>25</v>
      </c>
      <c r="I37" s="238" t="s">
        <v>52</v>
      </c>
      <c r="J37" s="8"/>
      <c r="K37" s="219" t="s">
        <v>46</v>
      </c>
      <c r="L37" s="242" t="s">
        <v>71</v>
      </c>
      <c r="M37" s="219" t="s">
        <v>45</v>
      </c>
      <c r="N37" s="219" t="s">
        <v>25</v>
      </c>
      <c r="O37" s="242" t="s">
        <v>43</v>
      </c>
      <c r="P37" s="219" t="s">
        <v>44</v>
      </c>
    </row>
    <row r="38" spans="1:21" ht="14.4" customHeight="1" x14ac:dyDescent="0.3">
      <c r="B38" s="49"/>
      <c r="C38" s="229"/>
      <c r="D38" s="247"/>
      <c r="E38" s="243"/>
      <c r="F38" s="247"/>
      <c r="G38" s="243"/>
      <c r="H38" s="247"/>
      <c r="I38" s="239"/>
      <c r="J38" s="8"/>
      <c r="K38" s="220"/>
      <c r="L38" s="243"/>
      <c r="M38" s="220"/>
      <c r="N38" s="220"/>
      <c r="O38" s="243"/>
      <c r="P38" s="220"/>
    </row>
    <row r="39" spans="1:21" ht="14.4" customHeight="1" x14ac:dyDescent="0.3">
      <c r="B39" s="49"/>
      <c r="C39" s="145">
        <f>(D33*D12*D35)+(E33*D13*E35)+(F33*D14*F35)</f>
        <v>0</v>
      </c>
      <c r="D39" s="145">
        <f>IF(G12=75%,E$18,IF(G12=70%,E$19,IF(G12=65%,E$20,IF(G12=60%,E$21,IF(G12=55%,E$22,IF(G12=50%,E$23))))))</f>
        <v>0</v>
      </c>
      <c r="E39" s="145">
        <f>D33*D35*E12+E33*E35*E13+F33*F35*E14</f>
        <v>0</v>
      </c>
      <c r="F39" s="146">
        <f>MAX(0,E39-D24)</f>
        <v>0</v>
      </c>
      <c r="G39" s="145">
        <f>MAX(0,C39-D39)</f>
        <v>0</v>
      </c>
      <c r="H39" s="147">
        <f>IF(G12=75%,I$18,IF(G12=70%,I$19,IF(G12=65%,I$20,IF(G12=60%,I$21,IF(G12=55%,I$22,IF(G12=50%,I$23))))))</f>
        <v>0</v>
      </c>
      <c r="I39" s="188">
        <f>IF(G39&gt;0,G39-H39,-H39)</f>
        <v>0</v>
      </c>
      <c r="J39" s="8"/>
      <c r="K39" s="163">
        <f>(L33*L12*L35)+(M33*L13*M35)+(N33*L14*N35)</f>
        <v>0</v>
      </c>
      <c r="L39" s="145">
        <f>IF(N12=75%,M$18,IF(N12=70%,M$19,IF(N12=65%,M$20,IF(N12=60%,M$21,IF(N12=55%,M$22,IF(N12=50%,M$23))))))</f>
        <v>0</v>
      </c>
      <c r="M39" s="164">
        <f>K39*N12</f>
        <v>0</v>
      </c>
      <c r="N39" s="163">
        <f>IF(N12=75%,Q$18,IF(N12=70%,Q$19,IF(N12=65%,Q$20,IF(N12=60%,Q$21,IF(N12=55%,Q$22,IF(N12=50%,Q$23))))))</f>
        <v>0</v>
      </c>
      <c r="O39" s="164">
        <f>IF(M39&gt;L39,M39, 0)</f>
        <v>0</v>
      </c>
      <c r="P39" s="188">
        <f>IF(M39&gt;L39,M39-N39,-N39)</f>
        <v>0</v>
      </c>
    </row>
    <row r="40" spans="1:21" ht="14.4" customHeight="1" x14ac:dyDescent="0.3">
      <c r="B40" s="8"/>
      <c r="C40" s="48"/>
      <c r="D40" s="48"/>
      <c r="E40" s="48"/>
      <c r="F40" s="48"/>
      <c r="G40" s="48"/>
      <c r="H40" s="48"/>
      <c r="I40" s="48"/>
      <c r="J40" s="8"/>
      <c r="K40" s="8"/>
      <c r="L40" s="8"/>
      <c r="M40" s="8"/>
      <c r="N40" s="8"/>
      <c r="O40" s="8"/>
      <c r="P40" s="54"/>
    </row>
    <row r="41" spans="1:21" ht="14.4" customHeight="1" x14ac:dyDescent="0.3">
      <c r="B41" s="8"/>
      <c r="J41" s="8"/>
      <c r="K41" s="8"/>
      <c r="L41" s="8"/>
      <c r="M41" s="8"/>
      <c r="N41" s="8"/>
      <c r="O41" s="8"/>
      <c r="P41" s="54"/>
    </row>
    <row r="42" spans="1:21" ht="14.4" customHeight="1" x14ac:dyDescent="0.3">
      <c r="B42" s="8"/>
      <c r="J42" s="8"/>
    </row>
    <row r="43" spans="1:21" ht="14.4" customHeight="1" x14ac:dyDescent="0.3">
      <c r="A43" s="8"/>
      <c r="B43" s="8"/>
      <c r="C43" s="8"/>
      <c r="D43" s="8"/>
      <c r="E43" s="8"/>
      <c r="F43" s="8"/>
      <c r="G43" s="8"/>
      <c r="H43" s="8"/>
      <c r="I43" s="8"/>
      <c r="J43" s="8"/>
      <c r="Q43" s="8"/>
    </row>
    <row r="44" spans="1:21" x14ac:dyDescent="0.3">
      <c r="A44" s="8"/>
      <c r="B44" s="8"/>
      <c r="C44" s="8"/>
      <c r="D44" s="8"/>
      <c r="E44" s="8"/>
      <c r="F44" s="8"/>
      <c r="H44" s="8"/>
      <c r="I44" s="8"/>
      <c r="J44" s="8"/>
      <c r="K44" s="8"/>
      <c r="L44" s="8"/>
      <c r="M44" s="8"/>
      <c r="N44" s="8"/>
      <c r="O44" s="8"/>
      <c r="P44" s="54"/>
      <c r="Q44" s="8"/>
    </row>
    <row r="45" spans="1:21" x14ac:dyDescent="0.3">
      <c r="A45" s="8"/>
      <c r="B45" s="8"/>
      <c r="C45" s="8"/>
      <c r="D45" s="8"/>
      <c r="E45" s="8"/>
      <c r="F45" s="8"/>
      <c r="H45" s="8"/>
      <c r="I45" s="8"/>
      <c r="J45" s="8"/>
      <c r="K45" s="8"/>
      <c r="L45" s="8"/>
      <c r="M45" s="8"/>
      <c r="N45" s="8"/>
      <c r="O45" s="8"/>
      <c r="P45" s="54"/>
      <c r="Q45" s="8"/>
    </row>
    <row r="46" spans="1:21" x14ac:dyDescent="0.3">
      <c r="A46" s="8"/>
      <c r="B46" s="8"/>
      <c r="C46" s="8"/>
      <c r="D46" s="8"/>
      <c r="E46" s="8"/>
      <c r="F46" s="8"/>
      <c r="H46" s="8"/>
      <c r="I46" s="8"/>
      <c r="J46" s="8"/>
      <c r="K46" s="8"/>
      <c r="L46" s="8"/>
      <c r="M46" s="8"/>
      <c r="N46" s="8"/>
      <c r="O46" s="8"/>
      <c r="P46" s="54"/>
      <c r="Q46" s="8"/>
    </row>
    <row r="47" spans="1:21" x14ac:dyDescent="0.3">
      <c r="A47" s="8"/>
      <c r="B47" s="8"/>
      <c r="C47" s="8"/>
      <c r="D47" s="8"/>
      <c r="E47" s="8"/>
      <c r="F47" s="8"/>
      <c r="G47" s="8"/>
      <c r="H47" s="8"/>
      <c r="I47" s="8"/>
      <c r="J47" s="8"/>
      <c r="K47" s="8"/>
      <c r="L47" s="8"/>
      <c r="M47" s="8"/>
      <c r="N47" s="8"/>
      <c r="O47" s="8"/>
      <c r="P47" s="54"/>
      <c r="Q47" s="8"/>
    </row>
    <row r="48" spans="1:21" x14ac:dyDescent="0.3">
      <c r="A48" s="8"/>
      <c r="B48" s="8"/>
      <c r="C48" s="8"/>
      <c r="D48" s="8"/>
      <c r="E48" s="8"/>
      <c r="F48" s="8"/>
      <c r="G48" s="8"/>
      <c r="H48" s="8"/>
      <c r="I48" s="8"/>
      <c r="J48" s="8"/>
      <c r="K48" s="8"/>
      <c r="L48" s="8"/>
      <c r="M48" s="8"/>
      <c r="N48" s="8"/>
      <c r="O48" s="8"/>
      <c r="P48" s="54"/>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72"/>
      <c r="Q52" s="72"/>
    </row>
    <row r="53" spans="1:17" x14ac:dyDescent="0.3">
      <c r="A53" s="8"/>
      <c r="B53" s="8"/>
      <c r="C53" s="8"/>
      <c r="D53" s="8"/>
      <c r="E53" s="8"/>
      <c r="F53" s="8"/>
      <c r="G53" s="8"/>
      <c r="H53" s="8"/>
      <c r="I53" s="8"/>
      <c r="J53" s="8"/>
      <c r="K53" s="8"/>
      <c r="L53" s="8"/>
      <c r="M53" s="8"/>
      <c r="N53" s="8"/>
      <c r="O53" s="8"/>
      <c r="P53" s="72"/>
      <c r="Q53" s="72"/>
    </row>
    <row r="54" spans="1:17" ht="14.4" customHeight="1" x14ac:dyDescent="0.3">
      <c r="A54" s="8"/>
      <c r="B54" s="8"/>
      <c r="C54" s="8"/>
      <c r="D54" s="8"/>
      <c r="E54" s="8"/>
      <c r="F54" s="8"/>
      <c r="G54" s="8"/>
      <c r="H54" s="8"/>
      <c r="I54" s="8"/>
      <c r="J54" s="8"/>
      <c r="K54" s="8"/>
      <c r="L54" s="8"/>
      <c r="M54" s="8"/>
      <c r="N54" s="8"/>
      <c r="O54" s="8"/>
      <c r="P54" s="72"/>
      <c r="Q54" s="72"/>
    </row>
    <row r="55" spans="1:17" x14ac:dyDescent="0.3">
      <c r="A55" s="8"/>
      <c r="B55" s="8"/>
      <c r="C55" s="8"/>
      <c r="D55" s="8"/>
      <c r="E55" s="8"/>
      <c r="F55" s="8"/>
      <c r="G55" s="8"/>
      <c r="H55" s="8"/>
      <c r="I55" s="8"/>
      <c r="J55" s="8"/>
      <c r="K55" s="8"/>
      <c r="L55" s="8"/>
      <c r="M55" s="8"/>
      <c r="N55" s="8"/>
      <c r="O55" s="8"/>
      <c r="P55" s="72"/>
      <c r="Q55" s="72"/>
    </row>
    <row r="56" spans="1:17" ht="14.4" customHeight="1" x14ac:dyDescent="0.3">
      <c r="A56" s="8"/>
      <c r="B56" s="8"/>
      <c r="C56" s="8"/>
      <c r="D56" s="8"/>
      <c r="E56" s="8"/>
      <c r="F56" s="8"/>
      <c r="G56" s="8"/>
      <c r="H56" s="8"/>
      <c r="I56" s="8"/>
      <c r="J56" s="8"/>
      <c r="K56" s="8"/>
      <c r="L56" s="8"/>
      <c r="M56" s="8"/>
      <c r="N56" s="8"/>
      <c r="O56" s="8"/>
      <c r="P56" s="72"/>
      <c r="Q56" s="72"/>
    </row>
    <row r="57" spans="1:17" x14ac:dyDescent="0.3">
      <c r="A57" s="8"/>
      <c r="B57" s="8"/>
      <c r="C57" s="8"/>
      <c r="D57" s="8"/>
      <c r="E57" s="8"/>
      <c r="F57" s="8"/>
      <c r="G57" s="8"/>
      <c r="H57" s="8"/>
      <c r="I57" s="8"/>
      <c r="J57" s="8"/>
      <c r="K57" s="8"/>
      <c r="L57" s="8"/>
      <c r="M57" s="8"/>
      <c r="N57" s="8"/>
      <c r="O57" s="8"/>
      <c r="P57" s="72"/>
      <c r="Q57" s="8"/>
    </row>
    <row r="58" spans="1:17" ht="14.4" customHeight="1" x14ac:dyDescent="0.3">
      <c r="A58" s="8"/>
      <c r="B58" s="8"/>
      <c r="C58" s="8"/>
      <c r="D58" s="8"/>
      <c r="E58" s="8"/>
      <c r="F58" s="8"/>
      <c r="G58" s="8"/>
      <c r="H58" s="8"/>
      <c r="I58" s="8"/>
      <c r="J58" s="8"/>
      <c r="K58" s="8"/>
      <c r="L58" s="8"/>
      <c r="M58" s="8"/>
      <c r="N58" s="8"/>
      <c r="O58" s="8"/>
      <c r="P58" s="72"/>
      <c r="Q58" s="72"/>
    </row>
    <row r="59" spans="1:17" x14ac:dyDescent="0.3">
      <c r="A59" s="8"/>
      <c r="B59" s="8"/>
      <c r="C59" s="8"/>
      <c r="D59" s="8"/>
      <c r="E59" s="8"/>
      <c r="F59" s="8"/>
      <c r="G59" s="8"/>
      <c r="H59" s="8"/>
      <c r="I59" s="8"/>
      <c r="J59" s="71"/>
      <c r="K59" s="71"/>
      <c r="L59" s="8"/>
      <c r="M59" s="8"/>
      <c r="N59" s="8"/>
      <c r="O59" s="8"/>
      <c r="P59" s="8"/>
      <c r="Q59" s="8"/>
    </row>
    <row r="60" spans="1:17" x14ac:dyDescent="0.3">
      <c r="A60" s="8"/>
      <c r="B60" s="8"/>
      <c r="C60" s="8"/>
      <c r="D60" s="8"/>
      <c r="E60" s="8"/>
      <c r="F60" s="8"/>
      <c r="G60" s="8"/>
      <c r="H60" s="8"/>
      <c r="I60" s="8"/>
      <c r="J60" s="71"/>
      <c r="K60" s="71"/>
      <c r="L60" s="8"/>
      <c r="M60" s="8"/>
      <c r="N60" s="8"/>
      <c r="O60" s="8"/>
      <c r="P60" s="8"/>
      <c r="Q60" s="8"/>
    </row>
    <row r="61" spans="1:17" x14ac:dyDescent="0.3">
      <c r="B61" s="8"/>
      <c r="C61" s="8"/>
      <c r="D61" s="8"/>
      <c r="E61" s="8"/>
      <c r="F61" s="8"/>
      <c r="G61" s="8"/>
      <c r="H61" s="8"/>
      <c r="J61" s="71"/>
      <c r="K61" s="71"/>
      <c r="L61" s="8"/>
      <c r="M61" s="8"/>
      <c r="N61" s="8"/>
      <c r="O61" s="8"/>
    </row>
    <row r="62" spans="1:17" x14ac:dyDescent="0.3">
      <c r="H62" s="8"/>
      <c r="J62" s="71"/>
      <c r="K62" s="71"/>
      <c r="L62" s="8"/>
      <c r="M62" s="8"/>
      <c r="N62" s="8"/>
      <c r="O62" s="8"/>
    </row>
    <row r="63" spans="1:17" x14ac:dyDescent="0.3">
      <c r="H63" s="8"/>
      <c r="J63" s="71"/>
      <c r="K63" s="71"/>
      <c r="L63" s="8"/>
      <c r="M63" s="8"/>
      <c r="N63" s="8"/>
      <c r="O63" s="8"/>
    </row>
    <row r="64" spans="1:17" x14ac:dyDescent="0.3">
      <c r="H64" s="8"/>
      <c r="J64" s="71"/>
      <c r="K64" s="71"/>
      <c r="L64" s="8"/>
      <c r="M64" s="8"/>
      <c r="N64" s="8"/>
      <c r="O64" s="8"/>
    </row>
    <row r="65" spans="2:15" x14ac:dyDescent="0.3">
      <c r="H65" s="8"/>
      <c r="J65" s="71"/>
      <c r="K65" s="71"/>
      <c r="L65" s="8"/>
      <c r="M65" s="8"/>
      <c r="N65" s="8"/>
      <c r="O65" s="8"/>
    </row>
    <row r="66" spans="2:15" x14ac:dyDescent="0.3">
      <c r="H66" s="8"/>
      <c r="J66" s="71"/>
      <c r="K66" s="71"/>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17" x14ac:dyDescent="0.3">
      <c r="B87" s="248" t="s">
        <v>10</v>
      </c>
      <c r="C87" s="248"/>
      <c r="D87" s="248"/>
      <c r="E87" s="248"/>
      <c r="F87" s="248"/>
      <c r="G87" s="112"/>
      <c r="H87" s="7"/>
    </row>
    <row r="88" spans="2:17" x14ac:dyDescent="0.3">
      <c r="C88" s="111" t="s">
        <v>3</v>
      </c>
      <c r="E88" s="111" t="s">
        <v>6</v>
      </c>
      <c r="F88" s="111" t="s">
        <v>4</v>
      </c>
      <c r="G88" s="111" t="s">
        <v>5</v>
      </c>
      <c r="H88" s="111" t="s">
        <v>4</v>
      </c>
      <c r="I88" s="111" t="s">
        <v>5</v>
      </c>
      <c r="J88" s="111" t="s">
        <v>9</v>
      </c>
    </row>
    <row r="89" spans="2:17" x14ac:dyDescent="0.3">
      <c r="B89" s="2">
        <v>0.75</v>
      </c>
      <c r="C89" s="2"/>
      <c r="E89" s="45">
        <f t="shared" ref="E89:G94" si="4">N18</f>
        <v>0</v>
      </c>
      <c r="F89" s="45">
        <f t="shared" si="4"/>
        <v>0</v>
      </c>
      <c r="G89" s="45">
        <f t="shared" si="4"/>
        <v>0</v>
      </c>
      <c r="H89" s="114" t="e">
        <f>ROUND(#REF!* F13*B89*'Avoc rates'!B33*0.45,0)</f>
        <v>#REF!</v>
      </c>
      <c r="I89" s="114" t="e">
        <f>ROUND(#REF!* F14*B89*'Avoc rates'!C33*0.45,0)</f>
        <v>#REF!</v>
      </c>
      <c r="J89" s="46" t="e">
        <f>E89+F89+G89+H89+I89</f>
        <v>#REF!</v>
      </c>
    </row>
    <row r="90" spans="2:17" x14ac:dyDescent="0.3">
      <c r="B90" s="2">
        <v>0.7</v>
      </c>
      <c r="C90" s="2"/>
      <c r="E90" s="45">
        <f t="shared" si="4"/>
        <v>0</v>
      </c>
      <c r="F90" s="45">
        <f t="shared" si="4"/>
        <v>0</v>
      </c>
      <c r="G90" s="45">
        <f t="shared" si="4"/>
        <v>0</v>
      </c>
      <c r="H90" s="114" t="e">
        <f>ROUND(#REF!* F13*B90*'Avoc rates'!B34*0.41,0)</f>
        <v>#REF!</v>
      </c>
      <c r="I90" s="114" t="e">
        <f>ROUND(#REF!* F14*B90*'Avoc rates'!C34*0.41,0)</f>
        <v>#REF!</v>
      </c>
      <c r="J90" s="46" t="e">
        <f t="shared" ref="J90:J94" si="5">E90+F90+G90+H90+I90</f>
        <v>#REF!</v>
      </c>
      <c r="Q90" s="111"/>
    </row>
    <row r="91" spans="2:17" x14ac:dyDescent="0.3">
      <c r="B91" s="2">
        <v>0.65</v>
      </c>
      <c r="C91" s="2"/>
      <c r="E91" s="45">
        <f t="shared" si="4"/>
        <v>0</v>
      </c>
      <c r="F91" s="45">
        <f t="shared" si="4"/>
        <v>0</v>
      </c>
      <c r="G91" s="45">
        <f t="shared" si="4"/>
        <v>0</v>
      </c>
      <c r="H91" s="114" t="e">
        <f>ROUND(#REF!* F13*B91*'Avoc rates'!B35*0.41,0)</f>
        <v>#REF!</v>
      </c>
      <c r="I91" s="114" t="e">
        <f>ROUND(#REF!*F14*B91*'Avoc rates'!C35*0.41,0)</f>
        <v>#REF!</v>
      </c>
      <c r="J91" s="46" t="e">
        <f t="shared" si="5"/>
        <v>#REF!</v>
      </c>
      <c r="Q91" s="111"/>
    </row>
    <row r="92" spans="2:17" x14ac:dyDescent="0.3">
      <c r="B92" s="2">
        <v>0.6</v>
      </c>
      <c r="C92" s="2"/>
      <c r="E92" s="45">
        <f t="shared" si="4"/>
        <v>0</v>
      </c>
      <c r="F92" s="45">
        <f t="shared" si="4"/>
        <v>0</v>
      </c>
      <c r="G92" s="45">
        <f t="shared" si="4"/>
        <v>0</v>
      </c>
      <c r="H92" s="114" t="e">
        <f>ROUND(#REF!* F13*B92*'Avoc rates'!B36*0.36,0)</f>
        <v>#REF!</v>
      </c>
      <c r="I92" s="114" t="e">
        <f>ROUND(#REF!* F14*B92*'Avoc rates'!C36*0.36,0)</f>
        <v>#REF!</v>
      </c>
      <c r="J92" s="46" t="e">
        <f t="shared" si="5"/>
        <v>#REF!</v>
      </c>
      <c r="Q92" s="111"/>
    </row>
    <row r="93" spans="2:17" x14ac:dyDescent="0.3">
      <c r="B93" s="2">
        <v>0.55000000000000004</v>
      </c>
      <c r="C93" s="2"/>
      <c r="E93" s="45">
        <f t="shared" si="4"/>
        <v>0</v>
      </c>
      <c r="F93" s="45">
        <f t="shared" si="4"/>
        <v>0</v>
      </c>
      <c r="G93" s="45">
        <f t="shared" si="4"/>
        <v>0</v>
      </c>
      <c r="H93" s="114" t="e">
        <f>ROUND(#REF!* F13*B93*'Avoc rates'!B37*0.36,0)</f>
        <v>#REF!</v>
      </c>
      <c r="I93" s="114" t="e">
        <f>ROUND(#REF!* F14*B93*'Avoc rates'!C37*0.36,0)</f>
        <v>#REF!</v>
      </c>
      <c r="J93" s="46" t="e">
        <f t="shared" si="5"/>
        <v>#REF!</v>
      </c>
      <c r="Q93" s="111"/>
    </row>
    <row r="94" spans="2:17" x14ac:dyDescent="0.3">
      <c r="B94" s="2">
        <v>0.5</v>
      </c>
      <c r="C94" s="2"/>
      <c r="E94" s="45">
        <f t="shared" si="4"/>
        <v>0</v>
      </c>
      <c r="F94" s="45">
        <f t="shared" si="4"/>
        <v>0</v>
      </c>
      <c r="G94" s="45">
        <f t="shared" si="4"/>
        <v>0</v>
      </c>
      <c r="H94" s="114" t="e">
        <f>ROUND(#REF!* F13*B94*'Avoc rates'!B38*0.33,0)</f>
        <v>#REF!</v>
      </c>
      <c r="I94" s="114" t="e">
        <f>ROUND(#REF!* F14*B94*'Avoc rates'!C38*0.33,0)</f>
        <v>#REF!</v>
      </c>
      <c r="J94" s="46" t="e">
        <f t="shared" si="5"/>
        <v>#REF!</v>
      </c>
      <c r="Q94" s="111"/>
    </row>
    <row r="95" spans="2:17" x14ac:dyDescent="0.3">
      <c r="Q95" s="111"/>
    </row>
    <row r="96" spans="2:17" x14ac:dyDescent="0.3">
      <c r="Q96" s="111"/>
    </row>
    <row r="97" spans="2:17" x14ac:dyDescent="0.3">
      <c r="Q97" s="111"/>
    </row>
    <row r="98" spans="2:17" x14ac:dyDescent="0.3">
      <c r="B98" s="47" t="s">
        <v>16</v>
      </c>
      <c r="Q98" s="111"/>
    </row>
    <row r="99" spans="2:17" x14ac:dyDescent="0.3">
      <c r="Q99" s="111"/>
    </row>
    <row r="100" spans="2:17" x14ac:dyDescent="0.3">
      <c r="B100" t="s">
        <v>17</v>
      </c>
      <c r="Q100" s="111"/>
    </row>
    <row r="101" spans="2:17" x14ac:dyDescent="0.3">
      <c r="Q101" s="111"/>
    </row>
    <row r="102" spans="2:17" x14ac:dyDescent="0.3">
      <c r="Q102" s="111"/>
    </row>
    <row r="103" spans="2:17" x14ac:dyDescent="0.3">
      <c r="Q103" s="111"/>
    </row>
    <row r="104" spans="2:17" x14ac:dyDescent="0.3">
      <c r="Q104" s="111"/>
    </row>
    <row r="105" spans="2:17" x14ac:dyDescent="0.3">
      <c r="Q105" s="111"/>
    </row>
    <row r="106" spans="2:17" x14ac:dyDescent="0.3">
      <c r="Q106" s="111"/>
    </row>
    <row r="107" spans="2:17" x14ac:dyDescent="0.3">
      <c r="Q107" s="111"/>
    </row>
    <row r="108" spans="2:17" x14ac:dyDescent="0.3">
      <c r="Q108" s="111"/>
    </row>
    <row r="109" spans="2:17" x14ac:dyDescent="0.3">
      <c r="Q109" s="111"/>
    </row>
    <row r="110" spans="2:17" x14ac:dyDescent="0.3">
      <c r="Q110" s="111"/>
    </row>
    <row r="111" spans="2:17" x14ac:dyDescent="0.3">
      <c r="Q111" s="111"/>
    </row>
    <row r="112" spans="2:17" x14ac:dyDescent="0.3">
      <c r="Q112" s="111"/>
    </row>
  </sheetData>
  <sheetProtection algorithmName="SHA-512" hashValue="f26RiqKI6LrlP44YB2lTFwGO2+CSEXxaGpZTOtf41e0+ZU/Pf0bV78wsn20ZH+xui41lJEmCQMOsYQeC0lwlhg==" saltValue="uwLi4yuE42JZ8/bqus+kwA==" spinCount="100000" sheet="1" objects="1" scenarios="1"/>
  <mergeCells count="58">
    <mergeCell ref="P37:P38"/>
    <mergeCell ref="K9:K11"/>
    <mergeCell ref="L9:L11"/>
    <mergeCell ref="F9:F11"/>
    <mergeCell ref="C31:C32"/>
    <mergeCell ref="F37:F38"/>
    <mergeCell ref="N37:N38"/>
    <mergeCell ref="O37:O38"/>
    <mergeCell ref="C33:C34"/>
    <mergeCell ref="D33:D34"/>
    <mergeCell ref="E33:E34"/>
    <mergeCell ref="F33:F34"/>
    <mergeCell ref="K33:K34"/>
    <mergeCell ref="L33:L34"/>
    <mergeCell ref="M33:M34"/>
    <mergeCell ref="N33:N34"/>
    <mergeCell ref="B87:F87"/>
    <mergeCell ref="I37:I38"/>
    <mergeCell ref="K37:K38"/>
    <mergeCell ref="L37:L38"/>
    <mergeCell ref="M37:M38"/>
    <mergeCell ref="G37:G38"/>
    <mergeCell ref="C37:C38"/>
    <mergeCell ref="D37:D38"/>
    <mergeCell ref="E37:E38"/>
    <mergeCell ref="H37:H38"/>
    <mergeCell ref="D31:F31"/>
    <mergeCell ref="K31:K32"/>
    <mergeCell ref="L31:N31"/>
    <mergeCell ref="O31:O32"/>
    <mergeCell ref="C27:I29"/>
    <mergeCell ref="K27:Q29"/>
    <mergeCell ref="L16:L17"/>
    <mergeCell ref="M16:M17"/>
    <mergeCell ref="N16:P16"/>
    <mergeCell ref="Q16:Q17"/>
    <mergeCell ref="C16:C17"/>
    <mergeCell ref="D16:D17"/>
    <mergeCell ref="E16:E17"/>
    <mergeCell ref="F16:H16"/>
    <mergeCell ref="I16:I17"/>
    <mergeCell ref="K16:K17"/>
    <mergeCell ref="D3:G4"/>
    <mergeCell ref="M3:P4"/>
    <mergeCell ref="C5:I7"/>
    <mergeCell ref="K5:Q7"/>
    <mergeCell ref="G12:G14"/>
    <mergeCell ref="H12:H14"/>
    <mergeCell ref="N12:N14"/>
    <mergeCell ref="O12:O14"/>
    <mergeCell ref="C9:C11"/>
    <mergeCell ref="G9:G11"/>
    <mergeCell ref="H9:H11"/>
    <mergeCell ref="M9:M11"/>
    <mergeCell ref="N9:N11"/>
    <mergeCell ref="O9:O11"/>
    <mergeCell ref="D9:D11"/>
    <mergeCell ref="E9:E11"/>
  </mergeCells>
  <dataValidations count="8">
    <dataValidation type="whole" allowBlank="1" showInputMessage="1" showErrorMessage="1" error="Exceeds total number of trees Stage I" sqref="D33:D34">
      <formula1>0</formula1>
      <formula2>F12</formula2>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rates'!$H$4:$H$24</xm:f>
          </x14:formula1>
          <xm:sqref>M35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rates'!$G$4:$G$24</xm:f>
          </x14:formula1>
          <xm:sqref>D35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12"/>
  <sheetViews>
    <sheetView topLeftCell="A10" zoomScale="120" zoomScaleNormal="120" workbookViewId="0">
      <selection activeCell="M15" sqref="M15"/>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s>
  <sheetData>
    <row r="3" spans="2:17" ht="14.4" customHeight="1" x14ac:dyDescent="0.3">
      <c r="D3" s="279" t="s">
        <v>26</v>
      </c>
      <c r="E3" s="279"/>
      <c r="F3" s="279"/>
      <c r="G3" s="279"/>
      <c r="M3" s="280" t="s">
        <v>27</v>
      </c>
      <c r="N3" s="280"/>
      <c r="O3" s="280"/>
      <c r="P3" s="280"/>
    </row>
    <row r="4" spans="2:17" x14ac:dyDescent="0.3">
      <c r="D4" s="279"/>
      <c r="E4" s="279"/>
      <c r="F4" s="279"/>
      <c r="G4" s="279"/>
      <c r="M4" s="280"/>
      <c r="N4" s="280"/>
      <c r="O4" s="280"/>
      <c r="P4" s="280"/>
    </row>
    <row r="5" spans="2:17" ht="14.4" customHeight="1" x14ac:dyDescent="0.3">
      <c r="C5" s="251" t="s">
        <v>76</v>
      </c>
      <c r="D5" s="251"/>
      <c r="E5" s="251"/>
      <c r="F5" s="251"/>
      <c r="G5" s="251"/>
      <c r="H5" s="251"/>
      <c r="I5" s="251"/>
      <c r="K5" s="251" t="s">
        <v>76</v>
      </c>
      <c r="L5" s="251"/>
      <c r="M5" s="251"/>
      <c r="N5" s="251"/>
      <c r="O5" s="251"/>
      <c r="P5" s="251"/>
      <c r="Q5" s="251"/>
    </row>
    <row r="6" spans="2:17" ht="14.4" customHeight="1" x14ac:dyDescent="0.3">
      <c r="C6" s="251"/>
      <c r="D6" s="251"/>
      <c r="E6" s="251"/>
      <c r="F6" s="251"/>
      <c r="G6" s="251"/>
      <c r="H6" s="251"/>
      <c r="I6" s="251"/>
      <c r="K6" s="251"/>
      <c r="L6" s="251"/>
      <c r="M6" s="251"/>
      <c r="N6" s="251"/>
      <c r="O6" s="251"/>
      <c r="P6" s="251"/>
      <c r="Q6" s="251"/>
    </row>
    <row r="7" spans="2:17" ht="14.4" customHeight="1" x14ac:dyDescent="0.3">
      <c r="C7" s="251"/>
      <c r="D7" s="251"/>
      <c r="E7" s="251"/>
      <c r="F7" s="251"/>
      <c r="G7" s="251"/>
      <c r="H7" s="251"/>
      <c r="I7" s="251"/>
      <c r="K7" s="251"/>
      <c r="L7" s="251"/>
      <c r="M7" s="251"/>
      <c r="N7" s="251"/>
      <c r="O7" s="251"/>
      <c r="P7" s="251"/>
      <c r="Q7" s="251"/>
    </row>
    <row r="8" spans="2:17" x14ac:dyDescent="0.3">
      <c r="C8" s="8"/>
      <c r="D8" s="8"/>
      <c r="E8" s="8"/>
      <c r="F8" s="8"/>
      <c r="G8" s="8"/>
      <c r="H8" s="8"/>
      <c r="I8" s="8"/>
      <c r="Q8" s="111"/>
    </row>
    <row r="9" spans="2:17" ht="14.4" customHeight="1" x14ac:dyDescent="0.3">
      <c r="B9" s="49"/>
      <c r="C9" s="230" t="s">
        <v>73</v>
      </c>
      <c r="D9" s="242" t="s">
        <v>58</v>
      </c>
      <c r="E9" s="219" t="s">
        <v>40</v>
      </c>
      <c r="F9" s="219" t="s">
        <v>41</v>
      </c>
      <c r="G9" s="230" t="s">
        <v>42</v>
      </c>
      <c r="H9" s="230" t="s">
        <v>25</v>
      </c>
      <c r="I9" s="8"/>
      <c r="K9" s="230" t="s">
        <v>73</v>
      </c>
      <c r="L9" s="219" t="s">
        <v>59</v>
      </c>
      <c r="M9" s="242" t="s">
        <v>49</v>
      </c>
      <c r="N9" s="242" t="s">
        <v>42</v>
      </c>
      <c r="O9" s="230" t="s">
        <v>25</v>
      </c>
      <c r="Q9" s="4"/>
    </row>
    <row r="10" spans="2:17" x14ac:dyDescent="0.3">
      <c r="B10" s="49"/>
      <c r="C10" s="231"/>
      <c r="D10" s="247"/>
      <c r="E10" s="229"/>
      <c r="F10" s="229"/>
      <c r="G10" s="231"/>
      <c r="H10" s="231"/>
      <c r="I10" s="8"/>
      <c r="K10" s="231"/>
      <c r="L10" s="229"/>
      <c r="M10" s="247"/>
      <c r="N10" s="247"/>
      <c r="O10" s="231"/>
      <c r="Q10" s="4"/>
    </row>
    <row r="11" spans="2:17" x14ac:dyDescent="0.3">
      <c r="B11" s="49"/>
      <c r="C11" s="231"/>
      <c r="D11" s="243"/>
      <c r="E11" s="220"/>
      <c r="F11" s="220"/>
      <c r="G11" s="231"/>
      <c r="H11" s="231"/>
      <c r="I11" s="8"/>
      <c r="K11" s="231"/>
      <c r="L11" s="220"/>
      <c r="M11" s="243"/>
      <c r="N11" s="247"/>
      <c r="O11" s="231"/>
      <c r="Q11" s="4"/>
    </row>
    <row r="12" spans="2:17" x14ac:dyDescent="0.3">
      <c r="B12" s="49"/>
      <c r="C12" s="106" t="s">
        <v>0</v>
      </c>
      <c r="D12" s="55">
        <v>52</v>
      </c>
      <c r="E12" s="101">
        <v>28.6</v>
      </c>
      <c r="F12" s="176">
        <v>0</v>
      </c>
      <c r="G12" s="232">
        <v>0.75</v>
      </c>
      <c r="H12" s="235">
        <f>IF(G12=75%,I$18,IF(G12=70%,I$19,IF(G12=65%,I20,IF(G12=60%,I$21,IF(G12=55%,I22,IF(G12=50%,I23))))))</f>
        <v>0</v>
      </c>
      <c r="I12" s="8"/>
      <c r="K12" s="60" t="s">
        <v>0</v>
      </c>
      <c r="L12" s="69">
        <v>52</v>
      </c>
      <c r="M12" s="169">
        <v>0</v>
      </c>
      <c r="N12" s="253">
        <v>0.75</v>
      </c>
      <c r="O12" s="235">
        <f>IF(N12=75%,Q18,IF(N12=70%,Q19,IF(N12=65%,Q20,IF(N12=60%,Q21,IF(N12=55%,Q22,IF(N12=50%,Q23))))))</f>
        <v>0</v>
      </c>
      <c r="Q12" s="4"/>
    </row>
    <row r="13" spans="2:17" x14ac:dyDescent="0.3">
      <c r="B13" s="49"/>
      <c r="C13" s="107" t="s">
        <v>1</v>
      </c>
      <c r="D13" s="104">
        <v>113</v>
      </c>
      <c r="E13" s="102">
        <v>62.15</v>
      </c>
      <c r="F13" s="177">
        <v>0</v>
      </c>
      <c r="G13" s="233"/>
      <c r="H13" s="236"/>
      <c r="I13" s="8"/>
      <c r="K13" s="60" t="s">
        <v>1</v>
      </c>
      <c r="L13" s="69">
        <v>113</v>
      </c>
      <c r="M13" s="169">
        <v>0</v>
      </c>
      <c r="N13" s="254"/>
      <c r="O13" s="236"/>
      <c r="Q13" s="5"/>
    </row>
    <row r="14" spans="2:17" x14ac:dyDescent="0.3">
      <c r="B14" s="49"/>
      <c r="C14" s="108" t="s">
        <v>2</v>
      </c>
      <c r="D14" s="105">
        <v>144</v>
      </c>
      <c r="E14" s="103">
        <v>79.2</v>
      </c>
      <c r="F14" s="178">
        <v>0</v>
      </c>
      <c r="G14" s="234"/>
      <c r="H14" s="237"/>
      <c r="I14" s="8"/>
      <c r="K14" s="61" t="s">
        <v>2</v>
      </c>
      <c r="L14" s="70">
        <v>144</v>
      </c>
      <c r="M14" s="170">
        <v>0</v>
      </c>
      <c r="N14" s="255"/>
      <c r="O14" s="237"/>
      <c r="Q14" s="5"/>
    </row>
    <row r="15" spans="2:17" ht="14.4" customHeight="1" x14ac:dyDescent="0.3">
      <c r="C15" s="82"/>
      <c r="D15" s="82"/>
      <c r="E15" s="82"/>
      <c r="F15" s="82"/>
      <c r="G15" s="82"/>
      <c r="H15" s="82"/>
      <c r="I15" s="8"/>
      <c r="N15" s="86"/>
      <c r="O15" s="86"/>
      <c r="P15" s="4"/>
      <c r="Q15" s="5"/>
    </row>
    <row r="16" spans="2:17" ht="14.4" customHeight="1" x14ac:dyDescent="0.3">
      <c r="B16" s="49"/>
      <c r="C16" s="230" t="s">
        <v>53</v>
      </c>
      <c r="D16" s="219" t="s">
        <v>54</v>
      </c>
      <c r="E16" s="230" t="s">
        <v>55</v>
      </c>
      <c r="F16" s="240" t="s">
        <v>56</v>
      </c>
      <c r="G16" s="240"/>
      <c r="H16" s="241"/>
      <c r="I16" s="230" t="s">
        <v>25</v>
      </c>
      <c r="K16" s="219" t="s">
        <v>53</v>
      </c>
      <c r="L16" s="242" t="s">
        <v>54</v>
      </c>
      <c r="M16" s="242" t="s">
        <v>57</v>
      </c>
      <c r="N16" s="275" t="s">
        <v>22</v>
      </c>
      <c r="O16" s="276"/>
      <c r="P16" s="277"/>
      <c r="Q16" s="242" t="s">
        <v>25</v>
      </c>
    </row>
    <row r="17" spans="1:17" ht="14.4" customHeight="1" x14ac:dyDescent="0.3">
      <c r="B17" s="49"/>
      <c r="C17" s="231"/>
      <c r="D17" s="229"/>
      <c r="E17" s="231"/>
      <c r="F17" s="56" t="s">
        <v>6</v>
      </c>
      <c r="G17" s="56" t="s">
        <v>4</v>
      </c>
      <c r="H17" s="141" t="s">
        <v>5</v>
      </c>
      <c r="I17" s="231"/>
      <c r="K17" s="229"/>
      <c r="L17" s="247"/>
      <c r="M17" s="247"/>
      <c r="N17" s="140" t="s">
        <v>6</v>
      </c>
      <c r="O17" s="140" t="s">
        <v>4</v>
      </c>
      <c r="P17" s="140" t="s">
        <v>5</v>
      </c>
      <c r="Q17" s="247"/>
    </row>
    <row r="18" spans="1:17" x14ac:dyDescent="0.3">
      <c r="B18" s="49"/>
      <c r="C18" s="98">
        <v>0.75</v>
      </c>
      <c r="D18" s="148">
        <f>((F$12*D$12)+(F$13*D$13)+(F$14*D$14))*C18</f>
        <v>0</v>
      </c>
      <c r="E18" s="149">
        <f>((F$12*D$12)+(F$13*D$13)+(F$14*D$14))*0.25</f>
        <v>0</v>
      </c>
      <c r="F18" s="150">
        <f>F12*D12*'Mango rates '!B3*0.45*C18</f>
        <v>0</v>
      </c>
      <c r="G18" s="150">
        <f>F13*D13* 'Mango rates '!C3*0.45*C18</f>
        <v>0</v>
      </c>
      <c r="H18" s="149">
        <f>F14*D14*'Mango rates '!D3 *0.45*C18</f>
        <v>0</v>
      </c>
      <c r="I18" s="185">
        <f t="shared" ref="I18:I23" si="0">F18+G18+H18</f>
        <v>0</v>
      </c>
      <c r="K18" s="57">
        <v>0.75</v>
      </c>
      <c r="L18" s="160">
        <f>((L12*M12)+(L13*M13)+(L14*M14))*K18</f>
        <v>0</v>
      </c>
      <c r="M18" s="160">
        <f>L18*0.05</f>
        <v>0</v>
      </c>
      <c r="N18" s="160">
        <f>L12*M12*'Mango rates '!B13*0.45*K18</f>
        <v>0</v>
      </c>
      <c r="O18" s="160">
        <f>L13*M13*'Mango rates '!C13*0.45*K18</f>
        <v>0</v>
      </c>
      <c r="P18" s="160">
        <f>L14*M14*'Mango rates '!D13*0.45*K18</f>
        <v>0</v>
      </c>
      <c r="Q18" s="160">
        <f t="shared" ref="Q18:Q23" si="1">N18+O18+P18</f>
        <v>0</v>
      </c>
    </row>
    <row r="19" spans="1:17" x14ac:dyDescent="0.3">
      <c r="B19" s="49"/>
      <c r="C19" s="99">
        <v>0.7</v>
      </c>
      <c r="D19" s="152">
        <f t="shared" ref="D19:D23" si="2">((F$12*D$12)+(F$13*D$13)+(F$14*D$14))*C19</f>
        <v>0</v>
      </c>
      <c r="E19" s="153">
        <f>((F$12*D$12)+(F$13*D$13)+(F$14*D$14))*0.3</f>
        <v>0</v>
      </c>
      <c r="F19" s="154">
        <f>F12*D12* 'Mango rates '!B4*0.41*C19</f>
        <v>0</v>
      </c>
      <c r="G19" s="154">
        <f>F13*D13*'Mango rates '!C4*0.41*C19</f>
        <v>0</v>
      </c>
      <c r="H19" s="153">
        <f>F14*D14* 'Mango rates '!D4*0.41*C19</f>
        <v>0</v>
      </c>
      <c r="I19" s="153">
        <f>F19+G19+H19</f>
        <v>0</v>
      </c>
      <c r="K19" s="67">
        <v>0.7</v>
      </c>
      <c r="L19" s="161">
        <f>((L12*M12+L13*M13+L14*M14))*K19</f>
        <v>0</v>
      </c>
      <c r="M19" s="161">
        <f>L19*0.05</f>
        <v>0</v>
      </c>
      <c r="N19" s="161">
        <f>L12*M12*'Mango rates '!B14*0.41*K19</f>
        <v>0</v>
      </c>
      <c r="O19" s="161">
        <f>L13*M13*'Mango rates '!C14*0.41*K19</f>
        <v>0</v>
      </c>
      <c r="P19" s="161">
        <f>L14*M14*'Mango rates '!D14*0.41*K19</f>
        <v>0</v>
      </c>
      <c r="Q19" s="161">
        <f t="shared" si="1"/>
        <v>0</v>
      </c>
    </row>
    <row r="20" spans="1:17" x14ac:dyDescent="0.3">
      <c r="B20" s="49"/>
      <c r="C20" s="99">
        <v>0.65</v>
      </c>
      <c r="D20" s="152">
        <f t="shared" si="2"/>
        <v>0</v>
      </c>
      <c r="E20" s="153">
        <f>((F$12*D$12)+(F$13*D$13)+(F$14*D$14))*0.35</f>
        <v>0</v>
      </c>
      <c r="F20" s="154">
        <f>F12*D12*'Mango rates '!B5*0.41*C20</f>
        <v>0</v>
      </c>
      <c r="G20" s="154">
        <f>F13*D13* 'Mango rates '!C5*0.41*C20</f>
        <v>0</v>
      </c>
      <c r="H20" s="153">
        <f>F14*D14* 'Mango rates '!D5*0.41*C20</f>
        <v>0</v>
      </c>
      <c r="I20" s="153">
        <f t="shared" si="0"/>
        <v>0</v>
      </c>
      <c r="K20" s="67">
        <v>0.65</v>
      </c>
      <c r="L20" s="161">
        <f>((L12*M12+L13*M13+L14*M14))*K20</f>
        <v>0</v>
      </c>
      <c r="M20" s="161">
        <f t="shared" ref="M20:M23" si="3">L20*0.05</f>
        <v>0</v>
      </c>
      <c r="N20" s="161">
        <f>L12*M12*'Mango rates '!B15*0.41*K20</f>
        <v>0</v>
      </c>
      <c r="O20" s="161">
        <f>L13*M13*'Mango rates '!C15*0.41*K20</f>
        <v>0</v>
      </c>
      <c r="P20" s="161">
        <f>L14*M14*'Mango rates '!D15*0.41*K20</f>
        <v>0</v>
      </c>
      <c r="Q20" s="161">
        <f t="shared" si="1"/>
        <v>0</v>
      </c>
    </row>
    <row r="21" spans="1:17" x14ac:dyDescent="0.3">
      <c r="B21" s="49"/>
      <c r="C21" s="99">
        <v>0.6</v>
      </c>
      <c r="D21" s="152">
        <f t="shared" si="2"/>
        <v>0</v>
      </c>
      <c r="E21" s="153">
        <f>((F$12*D$12)+(F$13*D$13)+(F$14*D$14))*0.4</f>
        <v>0</v>
      </c>
      <c r="F21" s="154">
        <f>F12*D12* 'Mango rates '!B6*0.36*C21</f>
        <v>0</v>
      </c>
      <c r="G21" s="154">
        <f>F13*D13*'Mango rates '!C6*0.36*C21</f>
        <v>0</v>
      </c>
      <c r="H21" s="153">
        <f>F14*D14*'Mango rates '!D6*0.36*C21</f>
        <v>0</v>
      </c>
      <c r="I21" s="153">
        <f t="shared" si="0"/>
        <v>0</v>
      </c>
      <c r="K21" s="67">
        <v>0.6</v>
      </c>
      <c r="L21" s="161">
        <f>((L12*M12+L13*M13+L14*M14))*K21</f>
        <v>0</v>
      </c>
      <c r="M21" s="161">
        <f t="shared" si="3"/>
        <v>0</v>
      </c>
      <c r="N21" s="161">
        <f>L12*M12*'Mango rates '!B16*0.36*K21</f>
        <v>0</v>
      </c>
      <c r="O21" s="161">
        <f>L13*M13*'Mango rates '!C16*0.36*K21</f>
        <v>0</v>
      </c>
      <c r="P21" s="161">
        <f>L14*M14*'Mango rates '!D16*0.36*K21</f>
        <v>0</v>
      </c>
      <c r="Q21" s="161">
        <f t="shared" si="1"/>
        <v>0</v>
      </c>
    </row>
    <row r="22" spans="1:17" x14ac:dyDescent="0.3">
      <c r="B22" s="49"/>
      <c r="C22" s="99">
        <v>0.55000000000000004</v>
      </c>
      <c r="D22" s="152">
        <f t="shared" si="2"/>
        <v>0</v>
      </c>
      <c r="E22" s="153">
        <f>((F$12*D$12)+(F$13*D$13)+(F$14*D$14))*0.45</f>
        <v>0</v>
      </c>
      <c r="F22" s="154">
        <f>F12*D12*'Mango rates '!B7*0.36*C22</f>
        <v>0</v>
      </c>
      <c r="G22" s="154">
        <f>F13*D13*'Mango rates '!C7 *0.36*C22</f>
        <v>0</v>
      </c>
      <c r="H22" s="153">
        <f>F14*D14*'Mango rates '!D7*0.36*C22</f>
        <v>0</v>
      </c>
      <c r="I22" s="153">
        <f t="shared" si="0"/>
        <v>0</v>
      </c>
      <c r="K22" s="67">
        <v>0.55000000000000004</v>
      </c>
      <c r="L22" s="161">
        <f>((L12*M12+L13*M13+L14*M14))*K22</f>
        <v>0</v>
      </c>
      <c r="M22" s="161">
        <f t="shared" si="3"/>
        <v>0</v>
      </c>
      <c r="N22" s="161">
        <f>L12*M12*'Mango rates '!B17*0.36*K22</f>
        <v>0</v>
      </c>
      <c r="O22" s="161">
        <f>L13*M13*'Mango rates '!C17*0.36*K22</f>
        <v>0</v>
      </c>
      <c r="P22" s="161">
        <f>L14*M14*'Mango rates '!D17*0.36*K22</f>
        <v>0</v>
      </c>
      <c r="Q22" s="161">
        <f t="shared" si="1"/>
        <v>0</v>
      </c>
    </row>
    <row r="23" spans="1:17" x14ac:dyDescent="0.3">
      <c r="B23" s="49"/>
      <c r="C23" s="99">
        <v>0.5</v>
      </c>
      <c r="D23" s="152">
        <f t="shared" si="2"/>
        <v>0</v>
      </c>
      <c r="E23" s="153">
        <f>((F$12*D$12)+(F$13*D$13)+(F$14*D$14))*0.5</f>
        <v>0</v>
      </c>
      <c r="F23" s="154">
        <f>F12*D12*'Mango rates '!B8*0.33*C23</f>
        <v>0</v>
      </c>
      <c r="G23" s="154">
        <f>F13*D13*'Mango rates '!C8*0.33*C23</f>
        <v>0</v>
      </c>
      <c r="H23" s="153">
        <f>F14*D14*'Mango rates '!D8*0.33*C23</f>
        <v>0</v>
      </c>
      <c r="I23" s="153">
        <f t="shared" si="0"/>
        <v>0</v>
      </c>
      <c r="K23" s="68">
        <v>0.5</v>
      </c>
      <c r="L23" s="162">
        <f>((L12*M12+L13*M13+L14*M14))*K23</f>
        <v>0</v>
      </c>
      <c r="M23" s="162">
        <f t="shared" si="3"/>
        <v>0</v>
      </c>
      <c r="N23" s="162">
        <f>L12*M12*'Mango rates '!B18*0.33*K23</f>
        <v>0</v>
      </c>
      <c r="O23" s="162">
        <f>L13*M13*'Mango rates '!C18*0.33*K23</f>
        <v>0</v>
      </c>
      <c r="P23" s="162">
        <f>L14*M14*'Mango rates '!D18*0.33*K23</f>
        <v>0</v>
      </c>
      <c r="Q23" s="162">
        <f t="shared" si="1"/>
        <v>0</v>
      </c>
    </row>
    <row r="24" spans="1:17" ht="14.4" customHeight="1" x14ac:dyDescent="0.3">
      <c r="A24" s="8"/>
      <c r="B24" s="49"/>
      <c r="C24" s="109" t="s">
        <v>18</v>
      </c>
      <c r="D24" s="155">
        <f>ROUND((F12*E12*0.5)+(F13*E13*0.5)+(F14*E14*0.5),0)</f>
        <v>0</v>
      </c>
      <c r="E24" s="156" t="s">
        <v>19</v>
      </c>
      <c r="F24" s="157" t="s">
        <v>19</v>
      </c>
      <c r="G24" s="157" t="s">
        <v>19</v>
      </c>
      <c r="H24" s="158" t="s">
        <v>19</v>
      </c>
      <c r="I24" s="159" t="s">
        <v>19</v>
      </c>
      <c r="J24" s="8"/>
      <c r="K24" s="8"/>
      <c r="L24" s="8"/>
      <c r="M24" s="8"/>
      <c r="N24" s="8"/>
      <c r="O24" s="8"/>
      <c r="P24" s="4"/>
      <c r="Q24" s="5"/>
    </row>
    <row r="25" spans="1:17" x14ac:dyDescent="0.3">
      <c r="A25" s="8"/>
      <c r="C25" s="81"/>
      <c r="D25" s="81"/>
      <c r="E25" s="81"/>
      <c r="F25" s="81"/>
      <c r="G25" s="81"/>
      <c r="H25" s="81"/>
      <c r="I25" s="48"/>
      <c r="J25" s="8"/>
      <c r="K25" s="8"/>
      <c r="L25" s="8"/>
      <c r="M25" s="8"/>
      <c r="N25" s="8"/>
      <c r="O25" s="8"/>
      <c r="P25" s="4"/>
      <c r="Q25" s="5"/>
    </row>
    <row r="26" spans="1:17" ht="14.4" customHeight="1" x14ac:dyDescent="0.3">
      <c r="A26" s="8"/>
      <c r="C26" s="74"/>
      <c r="D26" s="74"/>
      <c r="E26" s="74"/>
      <c r="F26" s="74"/>
      <c r="G26" s="74"/>
      <c r="H26" s="74"/>
      <c r="I26" s="8"/>
      <c r="J26" s="8"/>
      <c r="K26" s="8"/>
      <c r="L26" s="8"/>
      <c r="M26" s="8"/>
      <c r="N26" s="8"/>
      <c r="O26" s="8"/>
      <c r="P26" s="4"/>
      <c r="Q26" s="5"/>
    </row>
    <row r="27" spans="1:17" ht="14.4" customHeight="1" x14ac:dyDescent="0.3">
      <c r="A27" s="8"/>
      <c r="C27" s="252" t="s">
        <v>77</v>
      </c>
      <c r="D27" s="252"/>
      <c r="E27" s="252"/>
      <c r="F27" s="252"/>
      <c r="G27" s="252"/>
      <c r="H27" s="252"/>
      <c r="I27" s="252"/>
      <c r="J27" s="8"/>
      <c r="K27" s="252" t="s">
        <v>77</v>
      </c>
      <c r="L27" s="252"/>
      <c r="M27" s="252"/>
      <c r="N27" s="252"/>
      <c r="O27" s="252"/>
      <c r="P27" s="252"/>
      <c r="Q27" s="252"/>
    </row>
    <row r="28" spans="1:17" x14ac:dyDescent="0.3">
      <c r="A28" s="8"/>
      <c r="C28" s="252"/>
      <c r="D28" s="252"/>
      <c r="E28" s="252"/>
      <c r="F28" s="252"/>
      <c r="G28" s="252"/>
      <c r="H28" s="252"/>
      <c r="I28" s="252"/>
      <c r="J28" s="8"/>
      <c r="K28" s="252"/>
      <c r="L28" s="252"/>
      <c r="M28" s="252"/>
      <c r="N28" s="252"/>
      <c r="O28" s="252"/>
      <c r="P28" s="252"/>
      <c r="Q28" s="252"/>
    </row>
    <row r="29" spans="1:17" x14ac:dyDescent="0.3">
      <c r="A29" s="8"/>
      <c r="C29" s="252"/>
      <c r="D29" s="252"/>
      <c r="E29" s="252"/>
      <c r="F29" s="252"/>
      <c r="G29" s="252"/>
      <c r="H29" s="252"/>
      <c r="I29" s="252"/>
      <c r="J29" s="8"/>
      <c r="K29" s="252"/>
      <c r="L29" s="252"/>
      <c r="M29" s="252"/>
      <c r="N29" s="252"/>
      <c r="O29" s="252"/>
      <c r="P29" s="252"/>
      <c r="Q29" s="252"/>
    </row>
    <row r="30" spans="1:17" ht="14.4" customHeight="1" x14ac:dyDescent="0.3">
      <c r="A30" s="8"/>
      <c r="C30" s="8"/>
      <c r="D30" s="8"/>
      <c r="E30" s="8"/>
      <c r="F30" s="8"/>
      <c r="G30" s="8"/>
      <c r="H30" s="8"/>
      <c r="I30" s="8"/>
      <c r="J30" s="8"/>
      <c r="K30" s="8"/>
      <c r="L30" s="8"/>
      <c r="M30" s="8"/>
      <c r="N30" s="8"/>
      <c r="O30" s="8"/>
      <c r="P30" s="4"/>
      <c r="Q30" s="5"/>
    </row>
    <row r="31" spans="1:17" ht="14.4" customHeight="1" x14ac:dyDescent="0.3">
      <c r="A31" s="8"/>
      <c r="B31" s="49"/>
      <c r="C31" s="214"/>
      <c r="D31" s="244" t="s">
        <v>11</v>
      </c>
      <c r="E31" s="245"/>
      <c r="F31" s="246"/>
      <c r="G31" s="113"/>
      <c r="H31" s="8"/>
      <c r="I31" s="8"/>
      <c r="J31" s="49"/>
      <c r="K31" s="271"/>
      <c r="L31" s="278" t="s">
        <v>11</v>
      </c>
      <c r="M31" s="240"/>
      <c r="N31" s="241"/>
      <c r="O31" s="218"/>
      <c r="Q31" s="5"/>
    </row>
    <row r="32" spans="1:17" ht="14.4" customHeight="1" x14ac:dyDescent="0.3">
      <c r="A32" s="8"/>
      <c r="B32" s="49"/>
      <c r="C32" s="215"/>
      <c r="D32" s="140" t="s">
        <v>6</v>
      </c>
      <c r="E32" s="140" t="s">
        <v>4</v>
      </c>
      <c r="F32" s="142" t="s">
        <v>5</v>
      </c>
      <c r="G32" s="113"/>
      <c r="H32" s="8"/>
      <c r="I32" s="8"/>
      <c r="J32" s="49"/>
      <c r="K32" s="272"/>
      <c r="L32" s="56" t="s">
        <v>6</v>
      </c>
      <c r="M32" s="56" t="s">
        <v>4</v>
      </c>
      <c r="N32" s="141" t="s">
        <v>5</v>
      </c>
      <c r="O32" s="218"/>
      <c r="Q32" s="5"/>
    </row>
    <row r="33" spans="1:21" ht="14.4" customHeight="1" x14ac:dyDescent="0.3">
      <c r="A33" s="8"/>
      <c r="B33" s="49"/>
      <c r="C33" s="219" t="s">
        <v>20</v>
      </c>
      <c r="D33" s="291">
        <v>0</v>
      </c>
      <c r="E33" s="227">
        <v>0</v>
      </c>
      <c r="F33" s="268">
        <v>0</v>
      </c>
      <c r="G33" s="73"/>
      <c r="H33" s="8"/>
      <c r="I33" s="8"/>
      <c r="J33" s="97"/>
      <c r="K33" s="242" t="s">
        <v>20</v>
      </c>
      <c r="L33" s="293">
        <v>0</v>
      </c>
      <c r="M33" s="281">
        <v>0</v>
      </c>
      <c r="N33" s="268">
        <v>0</v>
      </c>
      <c r="O33" s="8"/>
      <c r="Q33" s="5"/>
      <c r="R33" s="111"/>
      <c r="S33" s="111"/>
      <c r="T33" s="77"/>
      <c r="U33" s="77"/>
    </row>
    <row r="34" spans="1:21" ht="14.4" customHeight="1" x14ac:dyDescent="0.3">
      <c r="A34" s="8"/>
      <c r="B34" s="49"/>
      <c r="C34" s="229"/>
      <c r="D34" s="292"/>
      <c r="E34" s="267"/>
      <c r="F34" s="269"/>
      <c r="G34" s="73"/>
      <c r="H34" s="8"/>
      <c r="I34" s="8"/>
      <c r="J34" s="49"/>
      <c r="K34" s="243"/>
      <c r="L34" s="294"/>
      <c r="M34" s="282"/>
      <c r="N34" s="270"/>
      <c r="O34" s="8"/>
      <c r="Q34" s="5"/>
      <c r="R34" s="111"/>
      <c r="S34" s="111"/>
      <c r="T34" s="78"/>
      <c r="U34" s="77"/>
    </row>
    <row r="35" spans="1:21" ht="14.4" customHeight="1" x14ac:dyDescent="0.3">
      <c r="A35" s="8"/>
      <c r="B35" s="49"/>
      <c r="C35" s="53" t="s">
        <v>21</v>
      </c>
      <c r="D35" s="182">
        <v>0</v>
      </c>
      <c r="E35" s="180">
        <v>0</v>
      </c>
      <c r="F35" s="181">
        <v>0</v>
      </c>
      <c r="G35" s="73"/>
      <c r="H35" s="8"/>
      <c r="I35" s="8"/>
      <c r="J35" s="49"/>
      <c r="K35" s="53" t="s">
        <v>21</v>
      </c>
      <c r="L35" s="184">
        <v>0</v>
      </c>
      <c r="M35" s="173">
        <v>0</v>
      </c>
      <c r="N35" s="174">
        <v>0</v>
      </c>
      <c r="O35" s="8"/>
      <c r="Q35" s="5"/>
    </row>
    <row r="36" spans="1:21" ht="14.4" customHeight="1" x14ac:dyDescent="0.3">
      <c r="A36" s="8"/>
      <c r="C36" s="48"/>
      <c r="D36" s="48"/>
      <c r="E36" s="48"/>
      <c r="F36" s="48"/>
      <c r="G36" s="8"/>
      <c r="H36" s="8"/>
      <c r="I36" s="8"/>
      <c r="J36" s="8"/>
      <c r="Q36" s="5"/>
    </row>
    <row r="37" spans="1:21" ht="14.4" customHeight="1" x14ac:dyDescent="0.3">
      <c r="A37" s="8"/>
      <c r="B37" s="49"/>
      <c r="C37" s="219" t="s">
        <v>46</v>
      </c>
      <c r="D37" s="242" t="s">
        <v>50</v>
      </c>
      <c r="E37" s="242" t="s">
        <v>51</v>
      </c>
      <c r="F37" s="242" t="s">
        <v>31</v>
      </c>
      <c r="G37" s="242" t="s">
        <v>39</v>
      </c>
      <c r="H37" s="242" t="s">
        <v>25</v>
      </c>
      <c r="I37" s="238" t="s">
        <v>52</v>
      </c>
      <c r="J37" s="8"/>
      <c r="K37" s="219" t="s">
        <v>46</v>
      </c>
      <c r="L37" s="242" t="s">
        <v>71</v>
      </c>
      <c r="M37" s="219" t="s">
        <v>45</v>
      </c>
      <c r="N37" s="219" t="s">
        <v>25</v>
      </c>
      <c r="O37" s="242" t="s">
        <v>43</v>
      </c>
      <c r="P37" s="219" t="s">
        <v>44</v>
      </c>
    </row>
    <row r="38" spans="1:21" ht="14.4" customHeight="1" x14ac:dyDescent="0.3">
      <c r="B38" s="49"/>
      <c r="C38" s="229"/>
      <c r="D38" s="247"/>
      <c r="E38" s="243"/>
      <c r="F38" s="247"/>
      <c r="G38" s="243"/>
      <c r="H38" s="247"/>
      <c r="I38" s="239"/>
      <c r="J38" s="8"/>
      <c r="K38" s="220"/>
      <c r="L38" s="243"/>
      <c r="M38" s="220"/>
      <c r="N38" s="220"/>
      <c r="O38" s="243"/>
      <c r="P38" s="220"/>
    </row>
    <row r="39" spans="1:21" ht="14.4" customHeight="1" x14ac:dyDescent="0.3">
      <c r="B39" s="49"/>
      <c r="C39" s="145">
        <f>(D33*D12*D35)+(E33*D13*E35)+(F33*D14*F35)</f>
        <v>0</v>
      </c>
      <c r="D39" s="145">
        <f>IF(G12=75%,E$18,IF(G12=70%,E$19,IF(G12=65%,E$20,IF(G12=60%,E$21,IF(G12=55%,E$22,IF(G12=50%,E$23))))))</f>
        <v>0</v>
      </c>
      <c r="E39" s="145">
        <f>D33*D35*E12+E33*E35*E13+F33*F35*E14</f>
        <v>0</v>
      </c>
      <c r="F39" s="146">
        <f>MAX(0,E39-D24)</f>
        <v>0</v>
      </c>
      <c r="G39" s="145">
        <f>MAX(0,C39-D39)</f>
        <v>0</v>
      </c>
      <c r="H39" s="147">
        <f>IF(G12=75%,I$18,IF(G12=70%,I$19,IF(G12=65%,I$20,IF(G12=60%,I$21,IF(G12=55%,I$22,IF(G12=50%,I$23))))))</f>
        <v>0</v>
      </c>
      <c r="I39" s="188">
        <f>IF(G39&gt;0,G39-H39,-H39)</f>
        <v>0</v>
      </c>
      <c r="J39" s="8"/>
      <c r="K39" s="163">
        <f>(L33*L12*L35)+(M33*L13*M35)+(N33*L14*N35)</f>
        <v>0</v>
      </c>
      <c r="L39" s="145">
        <f>IF(N12=75%,M$18,IF(N12=70%,M$19,IF(N12=65%,M$20,IF(N12=60%,M$21,IF(N12=55%,M$22,IF(N12=50%,M$23))))))</f>
        <v>0</v>
      </c>
      <c r="M39" s="164">
        <f>K39*N12</f>
        <v>0</v>
      </c>
      <c r="N39" s="163">
        <f>IF(N12=75%,Q$18,IF(N12=70%,Q$19,IF(N12=65%,Q$20,IF(N12=60%,Q$21,IF(N12=55%,Q$22,IF(N12=50%,Q$23))))))</f>
        <v>0</v>
      </c>
      <c r="O39" s="164">
        <f>IF(M39&gt;L39,M39, 0)</f>
        <v>0</v>
      </c>
      <c r="P39" s="188">
        <f>IF(M39&gt;L39,M39-N39,-N39)</f>
        <v>0</v>
      </c>
    </row>
    <row r="40" spans="1:21" ht="14.4" customHeight="1" x14ac:dyDescent="0.3">
      <c r="B40" s="8"/>
      <c r="C40" s="48"/>
      <c r="D40" s="48"/>
      <c r="E40" s="48"/>
      <c r="F40" s="48"/>
      <c r="G40" s="48"/>
      <c r="H40" s="48"/>
      <c r="I40" s="48"/>
      <c r="J40" s="8"/>
      <c r="K40" s="8"/>
      <c r="L40" s="8"/>
      <c r="M40" s="8"/>
      <c r="N40" s="8"/>
      <c r="O40" s="8"/>
      <c r="P40" s="54"/>
    </row>
    <row r="41" spans="1:21" ht="14.4" customHeight="1" x14ac:dyDescent="0.3">
      <c r="B41" s="8"/>
      <c r="C41" s="8"/>
      <c r="D41" s="8"/>
      <c r="E41" s="8"/>
      <c r="G41" s="8"/>
      <c r="H41" s="8"/>
      <c r="I41" s="8"/>
      <c r="J41" s="8"/>
      <c r="K41" s="8"/>
      <c r="L41" s="8"/>
      <c r="M41" s="8"/>
      <c r="N41" s="8"/>
      <c r="O41" s="8"/>
      <c r="P41" s="54"/>
    </row>
    <row r="42" spans="1:21" x14ac:dyDescent="0.3">
      <c r="B42" s="8"/>
      <c r="C42" s="8"/>
      <c r="D42" s="8"/>
      <c r="E42" s="8"/>
      <c r="G42" s="8"/>
      <c r="H42" s="8"/>
      <c r="I42" s="8"/>
      <c r="J42" s="8"/>
    </row>
    <row r="43" spans="1:21" ht="14.4" customHeight="1" x14ac:dyDescent="0.3">
      <c r="A43" s="8"/>
      <c r="B43" s="8"/>
      <c r="C43" s="8"/>
      <c r="D43" s="8"/>
      <c r="E43" s="8"/>
      <c r="G43" s="8"/>
      <c r="H43" s="8"/>
      <c r="I43" s="8"/>
      <c r="J43" s="8"/>
      <c r="Q43" s="8"/>
    </row>
    <row r="44" spans="1:21" x14ac:dyDescent="0.3">
      <c r="A44" s="8"/>
      <c r="B44" s="8"/>
      <c r="C44" s="8"/>
      <c r="D44" s="8"/>
      <c r="E44" s="8"/>
      <c r="F44" s="8"/>
      <c r="G44" s="8"/>
      <c r="H44" s="8"/>
      <c r="I44" s="8"/>
      <c r="J44" s="8"/>
      <c r="K44" s="8"/>
      <c r="L44" s="8"/>
      <c r="M44" s="8"/>
      <c r="N44" s="8"/>
      <c r="O44" s="8"/>
      <c r="P44" s="54"/>
      <c r="Q44" s="8"/>
    </row>
    <row r="45" spans="1:21" x14ac:dyDescent="0.3">
      <c r="A45" s="8"/>
      <c r="B45" s="8"/>
      <c r="J45" s="8"/>
      <c r="K45" s="8"/>
      <c r="L45" s="8"/>
      <c r="M45" s="8"/>
      <c r="N45" s="8"/>
      <c r="O45" s="8"/>
      <c r="P45" s="54"/>
      <c r="Q45" s="8"/>
    </row>
    <row r="46" spans="1:21" x14ac:dyDescent="0.3">
      <c r="A46" s="8"/>
      <c r="B46" s="8"/>
      <c r="J46" s="8"/>
      <c r="K46" s="8"/>
      <c r="L46" s="8"/>
      <c r="M46" s="8"/>
      <c r="N46" s="8"/>
      <c r="O46" s="8"/>
      <c r="P46" s="54"/>
      <c r="Q46" s="8"/>
    </row>
    <row r="47" spans="1:21" x14ac:dyDescent="0.3">
      <c r="A47" s="8"/>
      <c r="B47" s="8"/>
      <c r="C47" s="8"/>
      <c r="D47" s="8"/>
      <c r="E47" s="8"/>
      <c r="F47" s="8"/>
      <c r="G47" s="8"/>
      <c r="H47" s="8"/>
      <c r="I47" s="8"/>
      <c r="J47" s="8"/>
      <c r="K47" s="8"/>
      <c r="L47" s="8"/>
      <c r="M47" s="8"/>
      <c r="N47" s="8"/>
      <c r="O47" s="8"/>
      <c r="P47" s="54"/>
      <c r="Q47" s="8"/>
    </row>
    <row r="48" spans="1:21" x14ac:dyDescent="0.3">
      <c r="A48" s="8"/>
      <c r="B48" s="8"/>
      <c r="C48" s="8"/>
      <c r="D48" s="8"/>
      <c r="E48" s="8"/>
      <c r="F48" s="8"/>
      <c r="G48" s="8"/>
      <c r="H48" s="8"/>
      <c r="I48" s="8"/>
      <c r="J48" s="8"/>
      <c r="K48" s="8"/>
      <c r="L48" s="8"/>
      <c r="M48" s="8"/>
      <c r="N48" s="8"/>
      <c r="O48" s="8"/>
      <c r="P48" s="54"/>
      <c r="Q48" s="8"/>
    </row>
    <row r="49" spans="1:17" x14ac:dyDescent="0.3">
      <c r="A49" s="8"/>
      <c r="B49" s="8"/>
      <c r="C49" s="8"/>
      <c r="D49" s="8"/>
      <c r="E49" s="8"/>
      <c r="F49" s="8"/>
      <c r="G49" s="8"/>
      <c r="H49" s="8"/>
      <c r="I49" s="8"/>
      <c r="J49" s="8"/>
      <c r="K49" s="8"/>
      <c r="L49" s="8"/>
      <c r="M49" s="8"/>
      <c r="N49" s="8"/>
      <c r="O49" s="8"/>
      <c r="P49" s="8"/>
      <c r="Q49" s="8"/>
    </row>
    <row r="50" spans="1:17" x14ac:dyDescent="0.3">
      <c r="A50" s="8"/>
      <c r="B50" s="8"/>
      <c r="C50" s="8"/>
      <c r="D50" s="8"/>
      <c r="E50" s="8"/>
      <c r="F50" s="8"/>
      <c r="G50" s="8"/>
      <c r="H50" s="8"/>
      <c r="I50" s="8"/>
      <c r="J50" s="8"/>
      <c r="K50" s="8"/>
      <c r="L50" s="8"/>
      <c r="M50" s="8"/>
      <c r="N50" s="8"/>
      <c r="O50" s="8"/>
      <c r="P50" s="8"/>
      <c r="Q50" s="8"/>
    </row>
    <row r="51" spans="1:17" x14ac:dyDescent="0.3">
      <c r="A51" s="8"/>
      <c r="B51" s="8"/>
      <c r="C51" s="8"/>
      <c r="D51" s="8"/>
      <c r="E51" s="8"/>
      <c r="F51" s="8"/>
      <c r="G51" s="8"/>
      <c r="H51" s="8"/>
      <c r="I51" s="8"/>
      <c r="J51" s="8"/>
      <c r="K51" s="8"/>
      <c r="L51" s="8"/>
      <c r="M51" s="8"/>
      <c r="N51" s="8"/>
      <c r="O51" s="8"/>
      <c r="P51" s="8"/>
      <c r="Q51" s="8"/>
    </row>
    <row r="52" spans="1:17" x14ac:dyDescent="0.3">
      <c r="A52" s="8"/>
      <c r="B52" s="8"/>
      <c r="C52" s="8"/>
      <c r="D52" s="8"/>
      <c r="E52" s="8"/>
      <c r="F52" s="8"/>
      <c r="G52" s="8"/>
      <c r="H52" s="8"/>
      <c r="I52" s="8"/>
      <c r="J52" s="8"/>
      <c r="K52" s="8"/>
      <c r="L52" s="8"/>
      <c r="M52" s="8"/>
      <c r="N52" s="8"/>
      <c r="O52" s="8"/>
      <c r="P52" s="72"/>
      <c r="Q52" s="72"/>
    </row>
    <row r="53" spans="1:17" x14ac:dyDescent="0.3">
      <c r="A53" s="8"/>
      <c r="B53" s="8"/>
      <c r="C53" s="8"/>
      <c r="D53" s="8"/>
      <c r="E53" s="8"/>
      <c r="F53" s="8"/>
      <c r="G53" s="8"/>
      <c r="H53" s="8"/>
      <c r="I53" s="8"/>
      <c r="J53" s="8"/>
      <c r="K53" s="8"/>
      <c r="L53" s="8"/>
      <c r="M53" s="8"/>
      <c r="N53" s="8"/>
      <c r="O53" s="8"/>
      <c r="P53" s="72"/>
      <c r="Q53" s="72"/>
    </row>
    <row r="54" spans="1:17" ht="14.4" customHeight="1" x14ac:dyDescent="0.3">
      <c r="A54" s="8"/>
      <c r="B54" s="8"/>
      <c r="C54" s="8"/>
      <c r="D54" s="8"/>
      <c r="E54" s="8"/>
      <c r="F54" s="8"/>
      <c r="G54" s="8"/>
      <c r="H54" s="8"/>
      <c r="I54" s="8"/>
      <c r="J54" s="8"/>
      <c r="K54" s="8"/>
      <c r="L54" s="8"/>
      <c r="M54" s="8"/>
      <c r="N54" s="8"/>
      <c r="O54" s="8"/>
      <c r="P54" s="72"/>
      <c r="Q54" s="72"/>
    </row>
    <row r="55" spans="1:17" x14ac:dyDescent="0.3">
      <c r="A55" s="8"/>
      <c r="B55" s="8"/>
      <c r="C55" s="8"/>
      <c r="D55" s="8"/>
      <c r="E55" s="8"/>
      <c r="F55" s="8"/>
      <c r="G55" s="8"/>
      <c r="H55" s="8"/>
      <c r="I55" s="8"/>
      <c r="J55" s="8"/>
      <c r="K55" s="8"/>
      <c r="L55" s="8"/>
      <c r="M55" s="8"/>
      <c r="N55" s="8"/>
      <c r="O55" s="8"/>
      <c r="P55" s="72"/>
      <c r="Q55" s="72"/>
    </row>
    <row r="56" spans="1:17" ht="14.4" customHeight="1" x14ac:dyDescent="0.3">
      <c r="A56" s="8"/>
      <c r="B56" s="8"/>
      <c r="C56" s="8"/>
      <c r="D56" s="8"/>
      <c r="E56" s="8"/>
      <c r="F56" s="8"/>
      <c r="G56" s="8"/>
      <c r="H56" s="8"/>
      <c r="I56" s="8"/>
      <c r="J56" s="8"/>
      <c r="K56" s="8"/>
      <c r="L56" s="8"/>
      <c r="M56" s="8"/>
      <c r="N56" s="8"/>
      <c r="O56" s="8"/>
      <c r="P56" s="72"/>
      <c r="Q56" s="72"/>
    </row>
    <row r="57" spans="1:17" x14ac:dyDescent="0.3">
      <c r="A57" s="8"/>
      <c r="B57" s="8"/>
      <c r="C57" s="8"/>
      <c r="D57" s="8"/>
      <c r="E57" s="8"/>
      <c r="F57" s="8"/>
      <c r="G57" s="8"/>
      <c r="H57" s="8"/>
      <c r="I57" s="8"/>
      <c r="J57" s="8"/>
      <c r="K57" s="8"/>
      <c r="L57" s="8"/>
      <c r="M57" s="8"/>
      <c r="N57" s="8"/>
      <c r="O57" s="8"/>
      <c r="P57" s="72"/>
      <c r="Q57" s="8"/>
    </row>
    <row r="58" spans="1:17" ht="14.4" customHeight="1" x14ac:dyDescent="0.3">
      <c r="A58" s="8"/>
      <c r="B58" s="8"/>
      <c r="C58" s="8"/>
      <c r="D58" s="8"/>
      <c r="E58" s="8"/>
      <c r="F58" s="8"/>
      <c r="G58" s="8"/>
      <c r="H58" s="8"/>
      <c r="I58" s="8"/>
      <c r="J58" s="8"/>
      <c r="K58" s="8"/>
      <c r="L58" s="8"/>
      <c r="M58" s="8"/>
      <c r="N58" s="8"/>
      <c r="O58" s="8"/>
      <c r="P58" s="72"/>
      <c r="Q58" s="72"/>
    </row>
    <row r="59" spans="1:17" x14ac:dyDescent="0.3">
      <c r="A59" s="8"/>
      <c r="B59" s="8"/>
      <c r="C59" s="8"/>
      <c r="D59" s="8"/>
      <c r="E59" s="8"/>
      <c r="F59" s="8"/>
      <c r="G59" s="8"/>
      <c r="H59" s="8"/>
      <c r="I59" s="8"/>
      <c r="J59" s="71"/>
      <c r="K59" s="71"/>
      <c r="L59" s="8"/>
      <c r="M59" s="8"/>
      <c r="N59" s="8"/>
      <c r="O59" s="8"/>
      <c r="P59" s="8"/>
      <c r="Q59" s="8"/>
    </row>
    <row r="60" spans="1:17" x14ac:dyDescent="0.3">
      <c r="A60" s="8"/>
      <c r="B60" s="8"/>
      <c r="C60" s="8"/>
      <c r="D60" s="8"/>
      <c r="E60" s="8"/>
      <c r="F60" s="8"/>
      <c r="G60" s="8"/>
      <c r="H60" s="8"/>
      <c r="I60" s="8"/>
      <c r="J60" s="71"/>
      <c r="K60" s="71"/>
      <c r="L60" s="8"/>
      <c r="M60" s="8"/>
      <c r="N60" s="8"/>
      <c r="O60" s="8"/>
      <c r="P60" s="8"/>
      <c r="Q60" s="8"/>
    </row>
    <row r="61" spans="1:17" x14ac:dyDescent="0.3">
      <c r="B61" s="8"/>
      <c r="C61" s="8"/>
      <c r="D61" s="8"/>
      <c r="E61" s="8"/>
      <c r="F61" s="8"/>
      <c r="G61" s="8"/>
      <c r="H61" s="8"/>
      <c r="J61" s="71"/>
      <c r="K61" s="71"/>
      <c r="L61" s="8"/>
      <c r="M61" s="8"/>
      <c r="N61" s="8"/>
      <c r="O61" s="8"/>
    </row>
    <row r="62" spans="1:17" x14ac:dyDescent="0.3">
      <c r="H62" s="8"/>
      <c r="J62" s="71"/>
      <c r="K62" s="71"/>
      <c r="L62" s="8"/>
      <c r="M62" s="8"/>
      <c r="N62" s="8"/>
      <c r="O62" s="8"/>
    </row>
    <row r="63" spans="1:17" x14ac:dyDescent="0.3">
      <c r="H63" s="8"/>
      <c r="J63" s="71"/>
      <c r="K63" s="71"/>
      <c r="L63" s="8"/>
      <c r="M63" s="8"/>
      <c r="N63" s="8"/>
      <c r="O63" s="8"/>
    </row>
    <row r="64" spans="1:17" x14ac:dyDescent="0.3">
      <c r="H64" s="8"/>
      <c r="J64" s="71"/>
      <c r="K64" s="71"/>
      <c r="L64" s="8"/>
      <c r="M64" s="8"/>
      <c r="N64" s="8"/>
      <c r="O64" s="8"/>
    </row>
    <row r="65" spans="2:15" x14ac:dyDescent="0.3">
      <c r="H65" s="8"/>
      <c r="J65" s="71"/>
      <c r="K65" s="71"/>
      <c r="L65" s="8"/>
      <c r="M65" s="8"/>
      <c r="N65" s="8"/>
      <c r="O65" s="8"/>
    </row>
    <row r="66" spans="2:15" x14ac:dyDescent="0.3">
      <c r="H66" s="8"/>
      <c r="J66" s="71"/>
      <c r="K66" s="71"/>
      <c r="L66" s="8"/>
      <c r="M66" s="8"/>
      <c r="N66" s="8"/>
      <c r="O66" s="8"/>
    </row>
    <row r="75" spans="2:15" ht="14.4" customHeight="1" x14ac:dyDescent="0.3"/>
    <row r="77" spans="2:15" x14ac:dyDescent="0.3">
      <c r="B77" s="2"/>
      <c r="F77" s="7"/>
      <c r="G77" s="7"/>
      <c r="H77" s="7"/>
      <c r="I77" s="7"/>
    </row>
    <row r="78" spans="2:15" x14ac:dyDescent="0.3">
      <c r="B78" s="2"/>
      <c r="F78" s="7"/>
      <c r="G78" s="7"/>
      <c r="H78" s="7"/>
      <c r="I78" s="7"/>
    </row>
    <row r="87" spans="2:17" x14ac:dyDescent="0.3">
      <c r="B87" s="248" t="s">
        <v>10</v>
      </c>
      <c r="C87" s="248"/>
      <c r="D87" s="248"/>
      <c r="E87" s="248"/>
      <c r="F87" s="248"/>
      <c r="G87" s="112"/>
      <c r="H87" s="7"/>
    </row>
    <row r="88" spans="2:17" x14ac:dyDescent="0.3">
      <c r="C88" s="111" t="s">
        <v>3</v>
      </c>
      <c r="E88" s="111" t="s">
        <v>6</v>
      </c>
      <c r="F88" s="111" t="s">
        <v>4</v>
      </c>
      <c r="G88" s="111" t="s">
        <v>5</v>
      </c>
      <c r="H88" s="111" t="s">
        <v>4</v>
      </c>
      <c r="I88" s="111" t="s">
        <v>5</v>
      </c>
      <c r="J88" s="111" t="s">
        <v>9</v>
      </c>
    </row>
    <row r="89" spans="2:17" x14ac:dyDescent="0.3">
      <c r="B89" s="2">
        <v>0.75</v>
      </c>
      <c r="C89" s="2"/>
      <c r="E89" s="45">
        <f t="shared" ref="E89:G94" si="4">N18</f>
        <v>0</v>
      </c>
      <c r="F89" s="45">
        <f t="shared" si="4"/>
        <v>0</v>
      </c>
      <c r="G89" s="45">
        <f t="shared" si="4"/>
        <v>0</v>
      </c>
      <c r="H89" s="114" t="e">
        <f>ROUND(#REF!* F13*B89*'Avoc rates'!B33*0.45,0)</f>
        <v>#REF!</v>
      </c>
      <c r="I89" s="114" t="e">
        <f>ROUND(#REF!* F14*B89*'Avoc rates'!C33*0.45,0)</f>
        <v>#REF!</v>
      </c>
      <c r="J89" s="46" t="e">
        <f>E89+F89+G89+H89+I89</f>
        <v>#REF!</v>
      </c>
    </row>
    <row r="90" spans="2:17" x14ac:dyDescent="0.3">
      <c r="B90" s="2">
        <v>0.7</v>
      </c>
      <c r="C90" s="2"/>
      <c r="E90" s="45">
        <f t="shared" si="4"/>
        <v>0</v>
      </c>
      <c r="F90" s="45">
        <f t="shared" si="4"/>
        <v>0</v>
      </c>
      <c r="G90" s="45">
        <f t="shared" si="4"/>
        <v>0</v>
      </c>
      <c r="H90" s="114" t="e">
        <f>ROUND(#REF!* F13*B90*'Avoc rates'!B34*0.41,0)</f>
        <v>#REF!</v>
      </c>
      <c r="I90" s="114" t="e">
        <f>ROUND(#REF!* F14*B90*'Avoc rates'!C34*0.41,0)</f>
        <v>#REF!</v>
      </c>
      <c r="J90" s="46" t="e">
        <f t="shared" ref="J90:J94" si="5">E90+F90+G90+H90+I90</f>
        <v>#REF!</v>
      </c>
      <c r="Q90" s="111"/>
    </row>
    <row r="91" spans="2:17" x14ac:dyDescent="0.3">
      <c r="B91" s="2">
        <v>0.65</v>
      </c>
      <c r="C91" s="2"/>
      <c r="E91" s="45">
        <f t="shared" si="4"/>
        <v>0</v>
      </c>
      <c r="F91" s="45">
        <f t="shared" si="4"/>
        <v>0</v>
      </c>
      <c r="G91" s="45">
        <f t="shared" si="4"/>
        <v>0</v>
      </c>
      <c r="H91" s="114" t="e">
        <f>ROUND(#REF!* F13*B91*'Avoc rates'!B35*0.41,0)</f>
        <v>#REF!</v>
      </c>
      <c r="I91" s="114" t="e">
        <f>ROUND(#REF!*F14*B91*'Avoc rates'!C35*0.41,0)</f>
        <v>#REF!</v>
      </c>
      <c r="J91" s="46" t="e">
        <f t="shared" si="5"/>
        <v>#REF!</v>
      </c>
      <c r="Q91" s="111"/>
    </row>
    <row r="92" spans="2:17" x14ac:dyDescent="0.3">
      <c r="B92" s="2">
        <v>0.6</v>
      </c>
      <c r="C92" s="2"/>
      <c r="E92" s="45">
        <f t="shared" si="4"/>
        <v>0</v>
      </c>
      <c r="F92" s="45">
        <f t="shared" si="4"/>
        <v>0</v>
      </c>
      <c r="G92" s="45">
        <f t="shared" si="4"/>
        <v>0</v>
      </c>
      <c r="H92" s="114" t="e">
        <f>ROUND(#REF!* F13*B92*'Avoc rates'!B36*0.36,0)</f>
        <v>#REF!</v>
      </c>
      <c r="I92" s="114" t="e">
        <f>ROUND(#REF!* F14*B92*'Avoc rates'!C36*0.36,0)</f>
        <v>#REF!</v>
      </c>
      <c r="J92" s="46" t="e">
        <f t="shared" si="5"/>
        <v>#REF!</v>
      </c>
      <c r="Q92" s="111"/>
    </row>
    <row r="93" spans="2:17" x14ac:dyDescent="0.3">
      <c r="B93" s="2">
        <v>0.55000000000000004</v>
      </c>
      <c r="C93" s="2"/>
      <c r="E93" s="45">
        <f t="shared" si="4"/>
        <v>0</v>
      </c>
      <c r="F93" s="45">
        <f t="shared" si="4"/>
        <v>0</v>
      </c>
      <c r="G93" s="45">
        <f t="shared" si="4"/>
        <v>0</v>
      </c>
      <c r="H93" s="114" t="e">
        <f>ROUND(#REF!* F13*B93*'Avoc rates'!B37*0.36,0)</f>
        <v>#REF!</v>
      </c>
      <c r="I93" s="114" t="e">
        <f>ROUND(#REF!* F14*B93*'Avoc rates'!C37*0.36,0)</f>
        <v>#REF!</v>
      </c>
      <c r="J93" s="46" t="e">
        <f t="shared" si="5"/>
        <v>#REF!</v>
      </c>
      <c r="Q93" s="111"/>
    </row>
    <row r="94" spans="2:17" x14ac:dyDescent="0.3">
      <c r="B94" s="2">
        <v>0.5</v>
      </c>
      <c r="C94" s="2"/>
      <c r="E94" s="45">
        <f t="shared" si="4"/>
        <v>0</v>
      </c>
      <c r="F94" s="45">
        <f t="shared" si="4"/>
        <v>0</v>
      </c>
      <c r="G94" s="45">
        <f t="shared" si="4"/>
        <v>0</v>
      </c>
      <c r="H94" s="114" t="e">
        <f>ROUND(#REF!* F13*B94*'Avoc rates'!B38*0.33,0)</f>
        <v>#REF!</v>
      </c>
      <c r="I94" s="114" t="e">
        <f>ROUND(#REF!* F14*B94*'Avoc rates'!C38*0.33,0)</f>
        <v>#REF!</v>
      </c>
      <c r="J94" s="46" t="e">
        <f t="shared" si="5"/>
        <v>#REF!</v>
      </c>
      <c r="Q94" s="111"/>
    </row>
    <row r="95" spans="2:17" x14ac:dyDescent="0.3">
      <c r="Q95" s="111"/>
    </row>
    <row r="96" spans="2:17" x14ac:dyDescent="0.3">
      <c r="Q96" s="111"/>
    </row>
    <row r="97" spans="2:17" x14ac:dyDescent="0.3">
      <c r="Q97" s="111"/>
    </row>
    <row r="98" spans="2:17" x14ac:dyDescent="0.3">
      <c r="B98" s="47" t="s">
        <v>16</v>
      </c>
      <c r="Q98" s="111"/>
    </row>
    <row r="99" spans="2:17" x14ac:dyDescent="0.3">
      <c r="Q99" s="111"/>
    </row>
    <row r="100" spans="2:17" x14ac:dyDescent="0.3">
      <c r="B100" t="s">
        <v>17</v>
      </c>
      <c r="Q100" s="111"/>
    </row>
    <row r="101" spans="2:17" x14ac:dyDescent="0.3">
      <c r="Q101" s="111"/>
    </row>
    <row r="102" spans="2:17" x14ac:dyDescent="0.3">
      <c r="Q102" s="111"/>
    </row>
    <row r="103" spans="2:17" x14ac:dyDescent="0.3">
      <c r="Q103" s="111"/>
    </row>
    <row r="104" spans="2:17" x14ac:dyDescent="0.3">
      <c r="Q104" s="111"/>
    </row>
    <row r="105" spans="2:17" x14ac:dyDescent="0.3">
      <c r="Q105" s="111"/>
    </row>
    <row r="106" spans="2:17" x14ac:dyDescent="0.3">
      <c r="Q106" s="111"/>
    </row>
    <row r="107" spans="2:17" x14ac:dyDescent="0.3">
      <c r="Q107" s="111"/>
    </row>
    <row r="108" spans="2:17" x14ac:dyDescent="0.3">
      <c r="Q108" s="111"/>
    </row>
    <row r="109" spans="2:17" x14ac:dyDescent="0.3">
      <c r="Q109" s="111"/>
    </row>
    <row r="110" spans="2:17" x14ac:dyDescent="0.3">
      <c r="Q110" s="111"/>
    </row>
    <row r="111" spans="2:17" x14ac:dyDescent="0.3">
      <c r="Q111" s="111"/>
    </row>
    <row r="112" spans="2:17" x14ac:dyDescent="0.3">
      <c r="Q112" s="111"/>
    </row>
  </sheetData>
  <sheetProtection algorithmName="SHA-512" hashValue="QwikNaWKY4PNRSVNTtbYRgFjak/R1iCsdSDwk34JPm2ITxwfwGuaiWOdKFMU4r1LqzdlzwMncP4tFyUwtU38Bw==" saltValue="1f+eUDB41mO/P4bJSHNGWA==" spinCount="100000" sheet="1" objects="1" scenarios="1"/>
  <mergeCells count="58">
    <mergeCell ref="P37:P38"/>
    <mergeCell ref="G37:G38"/>
    <mergeCell ref="K9:K11"/>
    <mergeCell ref="L9:L11"/>
    <mergeCell ref="M37:M38"/>
    <mergeCell ref="N37:N38"/>
    <mergeCell ref="O37:O38"/>
    <mergeCell ref="L33:L34"/>
    <mergeCell ref="G12:G14"/>
    <mergeCell ref="H12:H14"/>
    <mergeCell ref="N12:N14"/>
    <mergeCell ref="O12:O14"/>
    <mergeCell ref="N16:P16"/>
    <mergeCell ref="B87:F87"/>
    <mergeCell ref="M33:M34"/>
    <mergeCell ref="N33:N34"/>
    <mergeCell ref="C37:C38"/>
    <mergeCell ref="D37:D38"/>
    <mergeCell ref="E37:E38"/>
    <mergeCell ref="F37:F38"/>
    <mergeCell ref="H37:H38"/>
    <mergeCell ref="I37:I38"/>
    <mergeCell ref="K37:K38"/>
    <mergeCell ref="L37:L38"/>
    <mergeCell ref="C33:C34"/>
    <mergeCell ref="D33:D34"/>
    <mergeCell ref="E33:E34"/>
    <mergeCell ref="F33:F34"/>
    <mergeCell ref="K33:K34"/>
    <mergeCell ref="Q16:Q17"/>
    <mergeCell ref="C27:I29"/>
    <mergeCell ref="K27:Q29"/>
    <mergeCell ref="D31:F31"/>
    <mergeCell ref="K31:K32"/>
    <mergeCell ref="L31:N31"/>
    <mergeCell ref="O31:O32"/>
    <mergeCell ref="C31:C32"/>
    <mergeCell ref="C16:C17"/>
    <mergeCell ref="D16:D17"/>
    <mergeCell ref="E16:E17"/>
    <mergeCell ref="F16:H16"/>
    <mergeCell ref="I16:I17"/>
    <mergeCell ref="K16:K17"/>
    <mergeCell ref="L16:L17"/>
    <mergeCell ref="M16:M17"/>
    <mergeCell ref="D3:G4"/>
    <mergeCell ref="M3:P4"/>
    <mergeCell ref="C5:I7"/>
    <mergeCell ref="K5:Q7"/>
    <mergeCell ref="C9:C11"/>
    <mergeCell ref="G9:G11"/>
    <mergeCell ref="H9:H11"/>
    <mergeCell ref="M9:M11"/>
    <mergeCell ref="N9:N11"/>
    <mergeCell ref="O9:O11"/>
    <mergeCell ref="D9:D11"/>
    <mergeCell ref="E9:E11"/>
    <mergeCell ref="F9:F11"/>
  </mergeCells>
  <dataValidations count="8">
    <dataValidation type="list" allowBlank="1" showInputMessage="1" showErrorMessage="1" prompt="Please select coverage level" sqref="G12">
      <formula1>$C$18:$C$23</formula1>
    </dataValidation>
    <dataValidation type="list" allowBlank="1" showInputMessage="1" showErrorMessage="1" prompt="Please select coverage level_x000a_" sqref="N12">
      <formula1>$K$18:$K$23</formula1>
    </dataValidation>
    <dataValidation type="whole" allowBlank="1" showInputMessage="1" showErrorMessage="1" error="Exceeds total number of trees Stage I" sqref="D33:D34">
      <formula1>0</formula1>
      <formula2>F12</formula2>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8"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rates'!$G$4:$G$24</xm:f>
          </x14:formula1>
          <xm:sqref>D35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rates'!$H$4:$H$24</xm:f>
          </x14:formula1>
          <xm:sqref>M35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08"/>
  <sheetViews>
    <sheetView zoomScale="120" zoomScaleNormal="120" workbookViewId="0">
      <selection activeCell="M15" sqref="M15"/>
    </sheetView>
  </sheetViews>
  <sheetFormatPr defaultRowHeight="14.4" x14ac:dyDescent="0.3"/>
  <cols>
    <col min="3" max="3" width="11.33203125" customWidth="1"/>
    <col min="4" max="4" width="10.33203125" customWidth="1"/>
    <col min="5" max="5" width="10.44140625" customWidth="1"/>
    <col min="6" max="6" width="10.109375" customWidth="1"/>
    <col min="7" max="7" width="11.6640625" customWidth="1"/>
    <col min="8" max="8" width="10.77734375" customWidth="1"/>
    <col min="9" max="10" width="9.77734375" customWidth="1"/>
    <col min="11" max="11" width="10.44140625" customWidth="1"/>
    <col min="12" max="12" width="10.88671875" customWidth="1"/>
    <col min="13" max="13" width="10.5546875" customWidth="1"/>
    <col min="14" max="14" width="9.77734375" customWidth="1"/>
    <col min="15" max="15" width="9.5546875" customWidth="1"/>
    <col min="16" max="16" width="10" customWidth="1"/>
    <col min="18" max="18" width="11.44140625" customWidth="1"/>
    <col min="19" max="19" width="8.88671875" style="8"/>
  </cols>
  <sheetData>
    <row r="3" spans="2:18" ht="14.4" customHeight="1" x14ac:dyDescent="0.3">
      <c r="D3" s="279" t="s">
        <v>26</v>
      </c>
      <c r="E3" s="279"/>
      <c r="F3" s="279"/>
      <c r="G3" s="279"/>
      <c r="M3" s="280" t="s">
        <v>27</v>
      </c>
      <c r="N3" s="280"/>
      <c r="O3" s="280"/>
      <c r="P3" s="280"/>
    </row>
    <row r="4" spans="2:18" x14ac:dyDescent="0.3">
      <c r="D4" s="279"/>
      <c r="E4" s="279"/>
      <c r="F4" s="279"/>
      <c r="G4" s="279"/>
      <c r="M4" s="280"/>
      <c r="N4" s="280"/>
      <c r="O4" s="280"/>
      <c r="P4" s="280"/>
    </row>
    <row r="5" spans="2:18" ht="14.4" customHeight="1" x14ac:dyDescent="0.3">
      <c r="C5" s="251" t="s">
        <v>76</v>
      </c>
      <c r="D5" s="251"/>
      <c r="E5" s="251"/>
      <c r="F5" s="251"/>
      <c r="G5" s="251"/>
      <c r="H5" s="251"/>
      <c r="I5" s="251"/>
      <c r="K5" s="251" t="s">
        <v>76</v>
      </c>
      <c r="L5" s="251"/>
      <c r="M5" s="251"/>
      <c r="N5" s="251"/>
      <c r="O5" s="251"/>
      <c r="P5" s="251"/>
      <c r="Q5" s="251"/>
    </row>
    <row r="6" spans="2:18" ht="14.4" customHeight="1" x14ac:dyDescent="0.3">
      <c r="C6" s="251"/>
      <c r="D6" s="251"/>
      <c r="E6" s="251"/>
      <c r="F6" s="251"/>
      <c r="G6" s="251"/>
      <c r="H6" s="251"/>
      <c r="I6" s="251"/>
      <c r="K6" s="251"/>
      <c r="L6" s="251"/>
      <c r="M6" s="251"/>
      <c r="N6" s="251"/>
      <c r="O6" s="251"/>
      <c r="P6" s="251"/>
      <c r="Q6" s="251"/>
    </row>
    <row r="7" spans="2:18" ht="14.4" customHeight="1" x14ac:dyDescent="0.3">
      <c r="C7" s="251"/>
      <c r="D7" s="251"/>
      <c r="E7" s="251"/>
      <c r="F7" s="251"/>
      <c r="G7" s="251"/>
      <c r="H7" s="251"/>
      <c r="I7" s="251"/>
      <c r="K7" s="251"/>
      <c r="L7" s="251"/>
      <c r="M7" s="251"/>
      <c r="N7" s="251"/>
      <c r="O7" s="251"/>
      <c r="P7" s="251"/>
      <c r="Q7" s="251"/>
    </row>
    <row r="8" spans="2:18" x14ac:dyDescent="0.3">
      <c r="C8" s="8"/>
      <c r="D8" s="8"/>
      <c r="E8" s="8"/>
      <c r="F8" s="8"/>
      <c r="G8" s="8"/>
      <c r="H8" s="8"/>
      <c r="I8" s="8"/>
      <c r="Q8" s="115"/>
      <c r="R8" s="115"/>
    </row>
    <row r="9" spans="2:18" ht="14.4" customHeight="1" x14ac:dyDescent="0.3">
      <c r="B9" s="49"/>
      <c r="C9" s="230" t="s">
        <v>73</v>
      </c>
      <c r="D9" s="242" t="s">
        <v>58</v>
      </c>
      <c r="E9" s="219" t="s">
        <v>40</v>
      </c>
      <c r="F9" s="219" t="s">
        <v>41</v>
      </c>
      <c r="G9" s="230" t="s">
        <v>42</v>
      </c>
      <c r="H9" s="230" t="s">
        <v>25</v>
      </c>
      <c r="I9" s="8"/>
      <c r="K9" s="242" t="s">
        <v>73</v>
      </c>
      <c r="L9" s="219" t="s">
        <v>59</v>
      </c>
      <c r="M9" s="242" t="s">
        <v>49</v>
      </c>
      <c r="N9" s="242" t="s">
        <v>42</v>
      </c>
      <c r="O9" s="230" t="s">
        <v>25</v>
      </c>
      <c r="Q9" s="4"/>
      <c r="R9" s="130"/>
    </row>
    <row r="10" spans="2:18" x14ac:dyDescent="0.3">
      <c r="B10" s="49"/>
      <c r="C10" s="231"/>
      <c r="D10" s="247"/>
      <c r="E10" s="229"/>
      <c r="F10" s="229"/>
      <c r="G10" s="231"/>
      <c r="H10" s="231"/>
      <c r="I10" s="8"/>
      <c r="K10" s="247"/>
      <c r="L10" s="229"/>
      <c r="M10" s="247"/>
      <c r="N10" s="247"/>
      <c r="O10" s="231"/>
      <c r="Q10" s="4"/>
      <c r="R10" s="130"/>
    </row>
    <row r="11" spans="2:18" x14ac:dyDescent="0.3">
      <c r="B11" s="49"/>
      <c r="C11" s="231"/>
      <c r="D11" s="243"/>
      <c r="E11" s="220"/>
      <c r="F11" s="220"/>
      <c r="G11" s="231"/>
      <c r="H11" s="231"/>
      <c r="I11" s="8"/>
      <c r="K11" s="243"/>
      <c r="L11" s="220"/>
      <c r="M11" s="243"/>
      <c r="N11" s="247"/>
      <c r="O11" s="231"/>
      <c r="Q11" s="4"/>
      <c r="R11" s="130"/>
    </row>
    <row r="12" spans="2:18" x14ac:dyDescent="0.3">
      <c r="B12" s="49"/>
      <c r="C12" s="106" t="s">
        <v>0</v>
      </c>
      <c r="D12" s="55">
        <v>52</v>
      </c>
      <c r="E12" s="101">
        <v>28.6</v>
      </c>
      <c r="F12" s="176">
        <v>0</v>
      </c>
      <c r="G12" s="232">
        <v>0.75</v>
      </c>
      <c r="H12" s="235">
        <f>IF(G12=75%,I$18,IF(G12=70%,I$19,IF(G12=65%,I20,IF(G12=60%,I$21,IF(G12=55%,I22,IF(G12=50%,I23))))))</f>
        <v>0</v>
      </c>
      <c r="I12" s="8"/>
      <c r="K12" s="60" t="s">
        <v>0</v>
      </c>
      <c r="L12" s="69">
        <v>52</v>
      </c>
      <c r="M12" s="169">
        <v>0</v>
      </c>
      <c r="N12" s="253">
        <v>0.75</v>
      </c>
      <c r="O12" s="235">
        <f>IF(N12=75%,Q18,IF(N12=70%,Q19,IF(N12=65%,Q20,IF(N12=60%,Q21,IF(N12=55%,Q22,IF(N12=50%,Q23))))))</f>
        <v>0</v>
      </c>
      <c r="Q12" s="4"/>
      <c r="R12" s="130"/>
    </row>
    <row r="13" spans="2:18" x14ac:dyDescent="0.3">
      <c r="B13" s="49"/>
      <c r="C13" s="107" t="s">
        <v>1</v>
      </c>
      <c r="D13" s="104">
        <v>113</v>
      </c>
      <c r="E13" s="102">
        <v>62.15</v>
      </c>
      <c r="F13" s="177">
        <v>0</v>
      </c>
      <c r="G13" s="233"/>
      <c r="H13" s="236"/>
      <c r="I13" s="8"/>
      <c r="K13" s="60" t="s">
        <v>1</v>
      </c>
      <c r="L13" s="69">
        <v>113</v>
      </c>
      <c r="M13" s="169">
        <v>0</v>
      </c>
      <c r="N13" s="254"/>
      <c r="O13" s="236"/>
      <c r="Q13" s="5"/>
      <c r="R13" s="130"/>
    </row>
    <row r="14" spans="2:18" x14ac:dyDescent="0.3">
      <c r="B14" s="49"/>
      <c r="C14" s="108" t="s">
        <v>2</v>
      </c>
      <c r="D14" s="105">
        <v>144</v>
      </c>
      <c r="E14" s="103">
        <v>79.2</v>
      </c>
      <c r="F14" s="178">
        <v>0</v>
      </c>
      <c r="G14" s="234"/>
      <c r="H14" s="237"/>
      <c r="I14" s="8"/>
      <c r="K14" s="61" t="s">
        <v>2</v>
      </c>
      <c r="L14" s="70">
        <v>144</v>
      </c>
      <c r="M14" s="170">
        <v>0</v>
      </c>
      <c r="N14" s="255"/>
      <c r="O14" s="237"/>
      <c r="Q14" s="5"/>
      <c r="R14" s="130"/>
    </row>
    <row r="15" spans="2:18" ht="14.4" customHeight="1" x14ac:dyDescent="0.3">
      <c r="C15" s="82"/>
      <c r="D15" s="82"/>
      <c r="E15" s="82"/>
      <c r="F15" s="82"/>
      <c r="G15" s="82"/>
      <c r="H15" s="82"/>
      <c r="I15" s="8"/>
      <c r="N15" s="86"/>
      <c r="O15" s="86"/>
      <c r="P15" s="4"/>
      <c r="Q15" s="5"/>
      <c r="R15" s="5"/>
    </row>
    <row r="16" spans="2:18" ht="14.4" customHeight="1" x14ac:dyDescent="0.3">
      <c r="B16" s="49"/>
      <c r="C16" s="230" t="s">
        <v>53</v>
      </c>
      <c r="D16" s="219" t="s">
        <v>54</v>
      </c>
      <c r="E16" s="230" t="s">
        <v>55</v>
      </c>
      <c r="F16" s="240" t="s">
        <v>56</v>
      </c>
      <c r="G16" s="240"/>
      <c r="H16" s="241"/>
      <c r="I16" s="230" t="s">
        <v>25</v>
      </c>
      <c r="K16" s="219" t="s">
        <v>53</v>
      </c>
      <c r="L16" s="242" t="s">
        <v>54</v>
      </c>
      <c r="M16" s="242" t="s">
        <v>57</v>
      </c>
      <c r="N16" s="275" t="s">
        <v>22</v>
      </c>
      <c r="O16" s="276"/>
      <c r="P16" s="277"/>
      <c r="Q16" s="242" t="s">
        <v>25</v>
      </c>
      <c r="R16" s="131"/>
    </row>
    <row r="17" spans="1:18" ht="14.4" customHeight="1" x14ac:dyDescent="0.3">
      <c r="B17" s="49"/>
      <c r="C17" s="231"/>
      <c r="D17" s="229"/>
      <c r="E17" s="231"/>
      <c r="F17" s="56" t="s">
        <v>6</v>
      </c>
      <c r="G17" s="56" t="s">
        <v>4</v>
      </c>
      <c r="H17" s="141" t="s">
        <v>5</v>
      </c>
      <c r="I17" s="231"/>
      <c r="K17" s="229"/>
      <c r="L17" s="247"/>
      <c r="M17" s="247"/>
      <c r="N17" s="140" t="s">
        <v>6</v>
      </c>
      <c r="O17" s="140" t="s">
        <v>4</v>
      </c>
      <c r="P17" s="140" t="s">
        <v>5</v>
      </c>
      <c r="Q17" s="247"/>
      <c r="R17" s="131"/>
    </row>
    <row r="18" spans="1:18" x14ac:dyDescent="0.3">
      <c r="B18" s="49"/>
      <c r="C18" s="98">
        <v>0.75</v>
      </c>
      <c r="D18" s="148">
        <f t="shared" ref="D18:D23" si="0">((F$12*D$12)+(F$13*D$13)+(F$14*D$14))*C18</f>
        <v>0</v>
      </c>
      <c r="E18" s="149">
        <f>((F$12*D$12)+(F$13*D$13)+(F$14*D$14))*0.25</f>
        <v>0</v>
      </c>
      <c r="F18" s="150">
        <f>F12*D12*'Limes rates'!B3*0.45*C18</f>
        <v>0</v>
      </c>
      <c r="G18" s="150">
        <f>F13*D13* 'Limes rates'!C3*0.45*C18</f>
        <v>0</v>
      </c>
      <c r="H18" s="149">
        <f>F14*D14* 'Limes rates'!D3*0.45*C18</f>
        <v>0</v>
      </c>
      <c r="I18" s="185">
        <f t="shared" ref="I18:I23" si="1">F18+G18+H18</f>
        <v>0</v>
      </c>
      <c r="K18" s="57">
        <v>0.75</v>
      </c>
      <c r="L18" s="160">
        <f>((L12*M12)+(L13*M13)+(L14*M14))*K18</f>
        <v>0</v>
      </c>
      <c r="M18" s="160">
        <f>L18*0.05</f>
        <v>0</v>
      </c>
      <c r="N18" s="160">
        <f>L12*M12* 'Limes rates'!B13*0.45*K18</f>
        <v>0</v>
      </c>
      <c r="O18" s="160">
        <f>L13*M13* 'Limes rates'!C13*0.45*K18</f>
        <v>0</v>
      </c>
      <c r="P18" s="160">
        <f>L14*M14* 'Limes rates'!D13*0.45*K18</f>
        <v>0</v>
      </c>
      <c r="Q18" s="160">
        <f t="shared" ref="Q18:Q23" si="2">N18+O18+P18</f>
        <v>0</v>
      </c>
      <c r="R18" s="131"/>
    </row>
    <row r="19" spans="1:18" x14ac:dyDescent="0.3">
      <c r="B19" s="49"/>
      <c r="C19" s="99">
        <v>0.7</v>
      </c>
      <c r="D19" s="152">
        <f t="shared" si="0"/>
        <v>0</v>
      </c>
      <c r="E19" s="153">
        <f>((F$12*D$12)+(F$13*D$13)+(F$14*D$14))*0.3</f>
        <v>0</v>
      </c>
      <c r="F19" s="154">
        <f>F12*D12* 'Limes rates'!B4*0.41*C19</f>
        <v>0</v>
      </c>
      <c r="G19" s="154">
        <f>F13*D13* 'Limes rates'!C4*0.41*C19</f>
        <v>0</v>
      </c>
      <c r="H19" s="153">
        <f>F14*D14* 'Limes rates'!D4*0.41*C19</f>
        <v>0</v>
      </c>
      <c r="I19" s="153">
        <f>F19+G19+H19</f>
        <v>0</v>
      </c>
      <c r="K19" s="67">
        <v>0.7</v>
      </c>
      <c r="L19" s="161">
        <f>((L12*M12+L13*M13+L14*M14))*K19</f>
        <v>0</v>
      </c>
      <c r="M19" s="161">
        <f>L19*0.05</f>
        <v>0</v>
      </c>
      <c r="N19" s="161">
        <f>L12*M12* 'Limes rates'!B14*0.41*K19</f>
        <v>0</v>
      </c>
      <c r="O19" s="161">
        <f>L13*M13* 'Limes rates'!C14*0.41*K19</f>
        <v>0</v>
      </c>
      <c r="P19" s="161">
        <f>L14*M14* 'Limes rates'!D14*0.41*K19</f>
        <v>0</v>
      </c>
      <c r="Q19" s="161">
        <f t="shared" si="2"/>
        <v>0</v>
      </c>
      <c r="R19" s="131"/>
    </row>
    <row r="20" spans="1:18" x14ac:dyDescent="0.3">
      <c r="B20" s="49"/>
      <c r="C20" s="99">
        <v>0.65</v>
      </c>
      <c r="D20" s="152">
        <f t="shared" si="0"/>
        <v>0</v>
      </c>
      <c r="E20" s="153">
        <f>((F$12*D$12)+(F$13*D$13)+(F$14*D$14))*0.35</f>
        <v>0</v>
      </c>
      <c r="F20" s="154">
        <f>F12*D12* 'Limes rates'!B5*0.41*C20</f>
        <v>0</v>
      </c>
      <c r="G20" s="154">
        <f>F13*D13* 'Limes rates'!C5*0.41*C20</f>
        <v>0</v>
      </c>
      <c r="H20" s="153">
        <f>F14*D14* 'Limes rates'!D5*0.41*C20</f>
        <v>0</v>
      </c>
      <c r="I20" s="153">
        <f t="shared" si="1"/>
        <v>0</v>
      </c>
      <c r="K20" s="67">
        <v>0.65</v>
      </c>
      <c r="L20" s="161">
        <f>((L12*M12+L13*M13+L14*M14))*K20</f>
        <v>0</v>
      </c>
      <c r="M20" s="161">
        <f t="shared" ref="M20:M23" si="3">L20*0.05</f>
        <v>0</v>
      </c>
      <c r="N20" s="161">
        <f>L12*M12*'Limes rates'!B15*0.41*K20</f>
        <v>0</v>
      </c>
      <c r="O20" s="161">
        <f>L13*M13* 'Limes rates'!C15*0.41*K20</f>
        <v>0</v>
      </c>
      <c r="P20" s="161">
        <f>L14*M14* 'Limes rates'!D15*0.41*K20</f>
        <v>0</v>
      </c>
      <c r="Q20" s="161">
        <f t="shared" si="2"/>
        <v>0</v>
      </c>
      <c r="R20" s="131"/>
    </row>
    <row r="21" spans="1:18" x14ac:dyDescent="0.3">
      <c r="B21" s="49"/>
      <c r="C21" s="99">
        <v>0.6</v>
      </c>
      <c r="D21" s="152">
        <f t="shared" si="0"/>
        <v>0</v>
      </c>
      <c r="E21" s="153">
        <f>((F$12*D$12)+(F$13*D$13)+(F$14*D$14))*0.4</f>
        <v>0</v>
      </c>
      <c r="F21" s="154">
        <f>F12*D12* 'Limes rates'!B6*0.36*C21</f>
        <v>0</v>
      </c>
      <c r="G21" s="154">
        <f>F13*D13* 'Limes rates'!C6*0.36*C21</f>
        <v>0</v>
      </c>
      <c r="H21" s="153">
        <f>F14*D14* 'Limes rates'!D6*0.36*C21</f>
        <v>0</v>
      </c>
      <c r="I21" s="153">
        <f t="shared" si="1"/>
        <v>0</v>
      </c>
      <c r="K21" s="67">
        <v>0.6</v>
      </c>
      <c r="L21" s="161">
        <f>((L12*M12+L13*M13+L14*M14))*K21</f>
        <v>0</v>
      </c>
      <c r="M21" s="161">
        <f t="shared" si="3"/>
        <v>0</v>
      </c>
      <c r="N21" s="161">
        <f>L12*M12* 'Limes rates'!B16*0.36*K21</f>
        <v>0</v>
      </c>
      <c r="O21" s="161">
        <f>L13*M13* 'Limes rates'!C16*0.36*K21</f>
        <v>0</v>
      </c>
      <c r="P21" s="161">
        <f>L14*M14* 'Limes rates'!D16*0.36*K21</f>
        <v>0</v>
      </c>
      <c r="Q21" s="161">
        <f t="shared" si="2"/>
        <v>0</v>
      </c>
      <c r="R21" s="131"/>
    </row>
    <row r="22" spans="1:18" x14ac:dyDescent="0.3">
      <c r="B22" s="49"/>
      <c r="C22" s="99">
        <v>0.55000000000000004</v>
      </c>
      <c r="D22" s="152">
        <f t="shared" si="0"/>
        <v>0</v>
      </c>
      <c r="E22" s="153">
        <f>((F$12*D$12)+(F$13*D$13)+(F$14*D$14))*0.45</f>
        <v>0</v>
      </c>
      <c r="F22" s="154">
        <f>F12*D12* 'Limes rates'!B7*0.36*C22</f>
        <v>0</v>
      </c>
      <c r="G22" s="154">
        <f>F13*D13* 'Limes rates'!C7*0.36*C22</f>
        <v>0</v>
      </c>
      <c r="H22" s="153">
        <f>F14*D14*'Limes rates'!D7 *0.36*C22</f>
        <v>0</v>
      </c>
      <c r="I22" s="153">
        <f t="shared" si="1"/>
        <v>0</v>
      </c>
      <c r="K22" s="67">
        <v>0.55000000000000004</v>
      </c>
      <c r="L22" s="161">
        <f>((L12*M12+L13*M13+L14*M14))*K22</f>
        <v>0</v>
      </c>
      <c r="M22" s="161">
        <f t="shared" si="3"/>
        <v>0</v>
      </c>
      <c r="N22" s="161">
        <f>L12*M12* 'Limes rates'!B17*0.36*K22</f>
        <v>0</v>
      </c>
      <c r="O22" s="161">
        <f>L13*M13* 'Limes rates'!C17*0.36*K22</f>
        <v>0</v>
      </c>
      <c r="P22" s="161">
        <f>L14*M14* 'Limes rates'!D17*0.36*K22</f>
        <v>0</v>
      </c>
      <c r="Q22" s="161">
        <f t="shared" si="2"/>
        <v>0</v>
      </c>
      <c r="R22" s="131"/>
    </row>
    <row r="23" spans="1:18" x14ac:dyDescent="0.3">
      <c r="B23" s="49"/>
      <c r="C23" s="99">
        <v>0.5</v>
      </c>
      <c r="D23" s="152">
        <f t="shared" si="0"/>
        <v>0</v>
      </c>
      <c r="E23" s="153">
        <f>((F$12*D$12)+(F$13*D$13)+(F$14*D$14))*0.5</f>
        <v>0</v>
      </c>
      <c r="F23" s="154">
        <f>F12*D12* 'Limes rates'!B8*0.33*C23</f>
        <v>0</v>
      </c>
      <c r="G23" s="154">
        <f>F13*D13* 'Limes rates'!C8*0.33*C23</f>
        <v>0</v>
      </c>
      <c r="H23" s="153">
        <f>F14*D14* 'Limes rates'!D8*0.33*C23</f>
        <v>0</v>
      </c>
      <c r="I23" s="153">
        <f t="shared" si="1"/>
        <v>0</v>
      </c>
      <c r="K23" s="68">
        <v>0.5</v>
      </c>
      <c r="L23" s="162">
        <f>((L12*M12+L13*M13+L14*M14))*K23</f>
        <v>0</v>
      </c>
      <c r="M23" s="162">
        <f t="shared" si="3"/>
        <v>0</v>
      </c>
      <c r="N23" s="162">
        <f>L12*M12* 'Limes rates'!B18*0.33*K23</f>
        <v>0</v>
      </c>
      <c r="O23" s="162">
        <f>L13*M13* 'Limes rates'!C18*0.33*K23</f>
        <v>0</v>
      </c>
      <c r="P23" s="162">
        <f>L14*M14* 'Limes rates'!D18*0.33*K23</f>
        <v>0</v>
      </c>
      <c r="Q23" s="162">
        <f t="shared" si="2"/>
        <v>0</v>
      </c>
      <c r="R23" s="131"/>
    </row>
    <row r="24" spans="1:18" ht="14.4" customHeight="1" x14ac:dyDescent="0.3">
      <c r="A24" s="8"/>
      <c r="B24" s="49"/>
      <c r="C24" s="109" t="s">
        <v>18</v>
      </c>
      <c r="D24" s="155">
        <f>ROUND((F12*E12*0.5)+(F13*E13*0.5)+(F14*E14*0.5),0)</f>
        <v>0</v>
      </c>
      <c r="E24" s="156" t="s">
        <v>19</v>
      </c>
      <c r="F24" s="157" t="s">
        <v>19</v>
      </c>
      <c r="G24" s="157" t="s">
        <v>19</v>
      </c>
      <c r="H24" s="158" t="s">
        <v>19</v>
      </c>
      <c r="I24" s="159" t="s">
        <v>19</v>
      </c>
      <c r="J24" s="8"/>
      <c r="K24" s="8"/>
      <c r="L24" s="8"/>
      <c r="M24" s="8"/>
      <c r="N24" s="8"/>
      <c r="O24" s="8"/>
      <c r="P24" s="4"/>
      <c r="Q24" s="5"/>
      <c r="R24" s="5"/>
    </row>
    <row r="25" spans="1:18" x14ac:dyDescent="0.3">
      <c r="A25" s="8"/>
      <c r="C25" s="81"/>
      <c r="D25" s="81"/>
      <c r="E25" s="81"/>
      <c r="F25" s="81"/>
      <c r="G25" s="81"/>
      <c r="H25" s="81"/>
      <c r="I25" s="48"/>
      <c r="J25" s="8"/>
      <c r="K25" s="8"/>
      <c r="L25" s="8"/>
      <c r="M25" s="8"/>
      <c r="N25" s="8"/>
      <c r="O25" s="8"/>
      <c r="P25" s="4"/>
      <c r="Q25" s="5"/>
      <c r="R25" s="5"/>
    </row>
    <row r="26" spans="1:18" ht="14.4" customHeight="1" x14ac:dyDescent="0.3">
      <c r="A26" s="8"/>
      <c r="C26" s="74"/>
      <c r="D26" s="74"/>
      <c r="E26" s="74"/>
      <c r="F26" s="74"/>
      <c r="G26" s="74"/>
      <c r="H26" s="74"/>
      <c r="I26" s="8"/>
      <c r="J26" s="8"/>
      <c r="K26" s="8"/>
      <c r="L26" s="8"/>
      <c r="M26" s="8"/>
      <c r="N26" s="8"/>
      <c r="O26" s="8"/>
      <c r="P26" s="4"/>
      <c r="Q26" s="5"/>
      <c r="R26" s="5"/>
    </row>
    <row r="27" spans="1:18" ht="14.4" customHeight="1" x14ac:dyDescent="0.3">
      <c r="A27" s="8"/>
      <c r="C27" s="252" t="s">
        <v>77</v>
      </c>
      <c r="D27" s="252"/>
      <c r="E27" s="252"/>
      <c r="F27" s="252"/>
      <c r="G27" s="252"/>
      <c r="H27" s="252"/>
      <c r="I27" s="252"/>
      <c r="J27" s="8"/>
      <c r="K27" s="252" t="s">
        <v>77</v>
      </c>
      <c r="L27" s="252"/>
      <c r="M27" s="252"/>
      <c r="N27" s="252"/>
      <c r="O27" s="252"/>
      <c r="P27" s="252"/>
      <c r="Q27" s="252"/>
      <c r="R27" s="5"/>
    </row>
    <row r="28" spans="1:18" x14ac:dyDescent="0.3">
      <c r="A28" s="8"/>
      <c r="C28" s="252"/>
      <c r="D28" s="252"/>
      <c r="E28" s="252"/>
      <c r="F28" s="252"/>
      <c r="G28" s="252"/>
      <c r="H28" s="252"/>
      <c r="I28" s="252"/>
      <c r="J28" s="8"/>
      <c r="K28" s="252"/>
      <c r="L28" s="252"/>
      <c r="M28" s="252"/>
      <c r="N28" s="252"/>
      <c r="O28" s="252"/>
      <c r="P28" s="252"/>
      <c r="Q28" s="252"/>
      <c r="R28" s="5"/>
    </row>
    <row r="29" spans="1:18" x14ac:dyDescent="0.3">
      <c r="A29" s="8"/>
      <c r="C29" s="252"/>
      <c r="D29" s="252"/>
      <c r="E29" s="252"/>
      <c r="F29" s="252"/>
      <c r="G29" s="252"/>
      <c r="H29" s="252"/>
      <c r="I29" s="252"/>
      <c r="J29" s="8"/>
      <c r="K29" s="252"/>
      <c r="L29" s="252"/>
      <c r="M29" s="252"/>
      <c r="N29" s="252"/>
      <c r="O29" s="252"/>
      <c r="P29" s="252"/>
      <c r="Q29" s="252"/>
      <c r="R29" s="5"/>
    </row>
    <row r="30" spans="1:18" ht="14.4" customHeight="1" x14ac:dyDescent="0.3">
      <c r="A30" s="8"/>
      <c r="C30" s="8"/>
      <c r="D30" s="8"/>
      <c r="E30" s="8"/>
      <c r="F30" s="8"/>
      <c r="G30" s="8"/>
      <c r="H30" s="8"/>
      <c r="I30" s="8"/>
      <c r="J30" s="8"/>
      <c r="K30" s="8"/>
      <c r="L30" s="8"/>
      <c r="M30" s="8"/>
      <c r="N30" s="8"/>
      <c r="O30" s="8"/>
      <c r="P30" s="4"/>
      <c r="Q30" s="5"/>
      <c r="R30" s="5"/>
    </row>
    <row r="31" spans="1:18" ht="14.4" customHeight="1" x14ac:dyDescent="0.3">
      <c r="A31" s="8"/>
      <c r="B31" s="49"/>
      <c r="C31" s="214"/>
      <c r="D31" s="244" t="s">
        <v>11</v>
      </c>
      <c r="E31" s="245"/>
      <c r="F31" s="246"/>
      <c r="G31" s="217"/>
      <c r="H31" s="218"/>
      <c r="I31" s="218"/>
      <c r="J31" s="49"/>
      <c r="K31" s="271"/>
      <c r="L31" s="278" t="s">
        <v>11</v>
      </c>
      <c r="M31" s="240"/>
      <c r="N31" s="241"/>
      <c r="O31" s="218"/>
      <c r="Q31" s="5"/>
      <c r="R31" s="130"/>
    </row>
    <row r="32" spans="1:18" ht="14.4" customHeight="1" x14ac:dyDescent="0.3">
      <c r="A32" s="8"/>
      <c r="B32" s="49"/>
      <c r="C32" s="215"/>
      <c r="D32" s="140" t="s">
        <v>6</v>
      </c>
      <c r="E32" s="140" t="s">
        <v>4</v>
      </c>
      <c r="F32" s="142" t="s">
        <v>5</v>
      </c>
      <c r="G32" s="217"/>
      <c r="H32" s="218"/>
      <c r="I32" s="218"/>
      <c r="J32" s="49"/>
      <c r="K32" s="272"/>
      <c r="L32" s="56" t="s">
        <v>6</v>
      </c>
      <c r="M32" s="56" t="s">
        <v>4</v>
      </c>
      <c r="N32" s="141" t="s">
        <v>5</v>
      </c>
      <c r="O32" s="218"/>
      <c r="Q32" s="5"/>
      <c r="R32" s="130"/>
    </row>
    <row r="33" spans="1:22" ht="14.4" customHeight="1" x14ac:dyDescent="0.3">
      <c r="A33" s="8"/>
      <c r="B33" s="49"/>
      <c r="C33" s="219" t="s">
        <v>20</v>
      </c>
      <c r="D33" s="291">
        <v>0</v>
      </c>
      <c r="E33" s="227">
        <v>0</v>
      </c>
      <c r="F33" s="268">
        <v>0</v>
      </c>
      <c r="G33" s="217"/>
      <c r="H33" s="218"/>
      <c r="I33" s="218"/>
      <c r="J33" s="97"/>
      <c r="K33" s="242" t="s">
        <v>20</v>
      </c>
      <c r="L33" s="293">
        <v>0</v>
      </c>
      <c r="M33" s="281">
        <v>0</v>
      </c>
      <c r="N33" s="268">
        <v>0</v>
      </c>
      <c r="O33" s="8"/>
      <c r="Q33" s="5"/>
      <c r="R33" s="130"/>
      <c r="S33" s="72"/>
      <c r="T33" s="115"/>
      <c r="U33" s="77"/>
      <c r="V33" s="77"/>
    </row>
    <row r="34" spans="1:22" ht="14.4" customHeight="1" x14ac:dyDescent="0.3">
      <c r="A34" s="8"/>
      <c r="B34" s="49"/>
      <c r="C34" s="229"/>
      <c r="D34" s="292"/>
      <c r="E34" s="267"/>
      <c r="F34" s="269"/>
      <c r="G34" s="217"/>
      <c r="H34" s="218"/>
      <c r="I34" s="218"/>
      <c r="J34" s="49"/>
      <c r="K34" s="243"/>
      <c r="L34" s="294"/>
      <c r="M34" s="282"/>
      <c r="N34" s="270"/>
      <c r="O34" s="8"/>
      <c r="Q34" s="5"/>
      <c r="R34" s="130"/>
      <c r="S34" s="72"/>
      <c r="T34" s="115"/>
      <c r="U34" s="78"/>
      <c r="V34" s="77"/>
    </row>
    <row r="35" spans="1:22" ht="14.4" customHeight="1" x14ac:dyDescent="0.3">
      <c r="A35" s="8"/>
      <c r="B35" s="49"/>
      <c r="C35" s="53" t="s">
        <v>21</v>
      </c>
      <c r="D35" s="182">
        <v>0</v>
      </c>
      <c r="E35" s="180">
        <v>0</v>
      </c>
      <c r="F35" s="181">
        <v>0</v>
      </c>
      <c r="G35" s="217"/>
      <c r="H35" s="218"/>
      <c r="I35" s="218"/>
      <c r="J35" s="49"/>
      <c r="K35" s="53" t="s">
        <v>21</v>
      </c>
      <c r="L35" s="184">
        <v>0</v>
      </c>
      <c r="M35" s="173">
        <v>0</v>
      </c>
      <c r="N35" s="174">
        <v>0</v>
      </c>
      <c r="O35" s="8"/>
      <c r="Q35" s="5"/>
      <c r="R35" s="130"/>
    </row>
    <row r="36" spans="1:22" ht="14.4" customHeight="1" x14ac:dyDescent="0.3">
      <c r="A36" s="8"/>
      <c r="C36" s="216"/>
      <c r="D36" s="216"/>
      <c r="E36" s="216"/>
      <c r="F36" s="216"/>
      <c r="G36" s="216"/>
      <c r="H36" s="216"/>
      <c r="I36" s="216"/>
      <c r="J36" s="8"/>
      <c r="Q36" s="5"/>
      <c r="R36" s="5"/>
    </row>
    <row r="37" spans="1:22" ht="14.4" customHeight="1" x14ac:dyDescent="0.3">
      <c r="A37" s="8"/>
      <c r="B37" s="49"/>
      <c r="C37" s="219" t="s">
        <v>46</v>
      </c>
      <c r="D37" s="242" t="s">
        <v>50</v>
      </c>
      <c r="E37" s="242" t="s">
        <v>51</v>
      </c>
      <c r="F37" s="242" t="s">
        <v>31</v>
      </c>
      <c r="G37" s="242" t="s">
        <v>39</v>
      </c>
      <c r="H37" s="242" t="s">
        <v>25</v>
      </c>
      <c r="I37" s="238" t="s">
        <v>52</v>
      </c>
      <c r="J37" s="8"/>
      <c r="K37" s="219" t="s">
        <v>46</v>
      </c>
      <c r="L37" s="242" t="s">
        <v>71</v>
      </c>
      <c r="M37" s="219" t="s">
        <v>45</v>
      </c>
      <c r="N37" s="219" t="s">
        <v>25</v>
      </c>
      <c r="O37" s="242" t="s">
        <v>43</v>
      </c>
      <c r="P37" s="219" t="s">
        <v>44</v>
      </c>
      <c r="R37" s="8"/>
    </row>
    <row r="38" spans="1:22" ht="14.4" customHeight="1" x14ac:dyDescent="0.3">
      <c r="B38" s="49"/>
      <c r="C38" s="229"/>
      <c r="D38" s="247"/>
      <c r="E38" s="243"/>
      <c r="F38" s="247"/>
      <c r="G38" s="243"/>
      <c r="H38" s="247"/>
      <c r="I38" s="239"/>
      <c r="J38" s="8"/>
      <c r="K38" s="220"/>
      <c r="L38" s="243"/>
      <c r="M38" s="220"/>
      <c r="N38" s="220"/>
      <c r="O38" s="243"/>
      <c r="P38" s="220"/>
      <c r="R38" s="8"/>
    </row>
    <row r="39" spans="1:22" ht="14.4" customHeight="1" x14ac:dyDescent="0.3">
      <c r="B39" s="49"/>
      <c r="C39" s="145">
        <f>(D33*D12*D35)+(E33*D13*E35)+(F33*D14*F35)</f>
        <v>0</v>
      </c>
      <c r="D39" s="145">
        <f>IF(G12=75%,E$18,IF(G12=70%,E$19,IF(G12=65%,E$20,IF(G12=60%,E$21,IF(G12=55%,E$22,IF(G12=50%,E$23))))))</f>
        <v>0</v>
      </c>
      <c r="E39" s="145">
        <f>D33*D35*E12+E33*E35*E13+F33*F35*E14</f>
        <v>0</v>
      </c>
      <c r="F39" s="146">
        <f>MAX(0,E39-D24)</f>
        <v>0</v>
      </c>
      <c r="G39" s="145">
        <f>MAX(0,C39-D39)</f>
        <v>0</v>
      </c>
      <c r="H39" s="147">
        <f>IF(G12=75%,I$18,IF(G12=70%,I$19,IF(G12=65%,I$20,IF(G12=60%,I$21,IF(G12=55%,I$22,IF(G12=50%,I$23))))))</f>
        <v>0</v>
      </c>
      <c r="I39" s="188">
        <f>IF(G39&gt;0,G39-H39,-H39)</f>
        <v>0</v>
      </c>
      <c r="J39" s="8"/>
      <c r="K39" s="163">
        <f>(L33*L12*L35)+(M33*L13*M35)+(N33*L14*N35)</f>
        <v>0</v>
      </c>
      <c r="L39" s="145">
        <f>IF(N12=75%,M$18,IF(N12=70%,M$19,IF(N12=65%,M$20,IF(N12=60%,M$21,IF(N12=55%,M$22,IF(N12=50%,M$23))))))</f>
        <v>0</v>
      </c>
      <c r="M39" s="164">
        <f>K39*N12</f>
        <v>0</v>
      </c>
      <c r="N39" s="163">
        <f>IF(N12=75%,Q$18,IF(N12=70%,Q$19,IF(N12=65%,Q$20,IF(N12=60%,Q$21,IF(N12=55%,Q$22,IF(N12=50%,Q$23))))))</f>
        <v>0</v>
      </c>
      <c r="O39" s="164">
        <f>IF(M39&gt;L39,M39, 0)</f>
        <v>0</v>
      </c>
      <c r="P39" s="188">
        <f>IF(M39&gt;L39,M39-N39,-N39)</f>
        <v>0</v>
      </c>
      <c r="R39" s="8"/>
    </row>
    <row r="40" spans="1:22" ht="14.4" customHeight="1" x14ac:dyDescent="0.3">
      <c r="B40" s="8"/>
      <c r="C40" s="48"/>
      <c r="D40" s="48"/>
      <c r="E40" s="48"/>
      <c r="F40" s="48"/>
      <c r="G40" s="48"/>
      <c r="H40" s="48"/>
      <c r="I40" s="48"/>
      <c r="J40" s="8"/>
      <c r="K40" s="8"/>
      <c r="L40" s="8"/>
      <c r="M40" s="8"/>
      <c r="N40" s="8"/>
      <c r="O40" s="8"/>
      <c r="P40" s="54"/>
      <c r="R40" s="8"/>
    </row>
    <row r="41" spans="1:22" ht="14.4" customHeight="1" x14ac:dyDescent="0.3">
      <c r="B41" s="8"/>
      <c r="C41" s="8"/>
      <c r="D41" s="8"/>
      <c r="E41" s="8"/>
      <c r="F41" s="8"/>
      <c r="G41" s="8"/>
      <c r="H41" s="8"/>
      <c r="I41" s="8"/>
      <c r="J41" s="8"/>
      <c r="K41" s="8"/>
      <c r="L41" s="8"/>
      <c r="M41" s="8"/>
      <c r="N41" s="8"/>
      <c r="O41" s="8"/>
      <c r="P41" s="54"/>
      <c r="R41" s="8"/>
    </row>
    <row r="42" spans="1:22" x14ac:dyDescent="0.3">
      <c r="A42" s="8"/>
      <c r="B42" s="8"/>
      <c r="C42" s="8"/>
      <c r="D42" s="8"/>
      <c r="E42" s="8"/>
      <c r="F42" s="8"/>
      <c r="H42" s="8"/>
      <c r="I42" s="8"/>
      <c r="J42" s="8"/>
      <c r="K42" s="8"/>
      <c r="L42" s="8"/>
      <c r="M42" s="8"/>
      <c r="N42" s="8"/>
      <c r="O42" s="8"/>
      <c r="P42" s="54"/>
      <c r="Q42" s="8"/>
      <c r="R42" s="8"/>
    </row>
    <row r="43" spans="1:22" x14ac:dyDescent="0.3">
      <c r="A43" s="8"/>
      <c r="B43" s="8"/>
      <c r="C43" s="8"/>
      <c r="D43" s="8"/>
      <c r="E43" s="8"/>
      <c r="F43" s="8"/>
      <c r="G43" s="8"/>
      <c r="H43" s="8"/>
      <c r="I43" s="8"/>
      <c r="J43" s="8"/>
      <c r="K43" s="8"/>
      <c r="L43" s="8"/>
      <c r="M43" s="8"/>
      <c r="N43" s="8"/>
      <c r="O43" s="8"/>
      <c r="P43" s="54"/>
      <c r="Q43" s="8"/>
      <c r="R43" s="110"/>
    </row>
    <row r="44" spans="1:22" x14ac:dyDescent="0.3">
      <c r="A44" s="8"/>
      <c r="B44" s="8"/>
      <c r="C44" s="8"/>
      <c r="D44" s="8"/>
      <c r="E44" s="8"/>
      <c r="F44" s="8"/>
      <c r="G44" s="8"/>
      <c r="H44" s="8"/>
      <c r="I44" s="8"/>
      <c r="J44" s="8"/>
      <c r="K44" s="8"/>
      <c r="L44" s="8"/>
      <c r="M44" s="8"/>
      <c r="N44" s="8"/>
      <c r="O44" s="8"/>
      <c r="P44" s="54"/>
      <c r="Q44" s="8"/>
      <c r="R44" s="8"/>
    </row>
    <row r="45" spans="1:22" x14ac:dyDescent="0.3">
      <c r="A45" s="8"/>
      <c r="B45" s="8"/>
      <c r="C45" s="8"/>
      <c r="D45" s="8"/>
      <c r="E45" s="8"/>
      <c r="F45" s="8"/>
      <c r="G45" s="8"/>
      <c r="H45" s="8"/>
      <c r="I45" s="8"/>
      <c r="J45" s="8"/>
      <c r="K45" s="8"/>
      <c r="L45" s="8"/>
      <c r="M45" s="8"/>
      <c r="N45" s="8"/>
      <c r="O45" s="8"/>
      <c r="P45" s="8"/>
      <c r="Q45" s="8"/>
      <c r="R45" s="8"/>
    </row>
    <row r="46" spans="1:22" x14ac:dyDescent="0.3">
      <c r="A46" s="8"/>
      <c r="B46" s="8"/>
      <c r="C46" s="8"/>
      <c r="D46" s="8"/>
      <c r="E46" s="8"/>
      <c r="F46" s="8"/>
      <c r="G46" s="8"/>
      <c r="H46" s="8"/>
      <c r="I46" s="8"/>
      <c r="J46" s="8"/>
      <c r="K46" s="8"/>
      <c r="L46" s="8"/>
      <c r="M46" s="8"/>
      <c r="N46" s="8"/>
      <c r="O46" s="8"/>
      <c r="P46" s="8"/>
      <c r="Q46" s="8"/>
      <c r="R46" s="8"/>
    </row>
    <row r="47" spans="1:22" x14ac:dyDescent="0.3">
      <c r="A47" s="8"/>
      <c r="B47" s="8"/>
      <c r="C47" s="8"/>
      <c r="D47" s="8"/>
      <c r="E47" s="8"/>
      <c r="F47" s="8"/>
      <c r="G47" s="8"/>
      <c r="H47" s="8"/>
      <c r="I47" s="8"/>
      <c r="J47" s="8"/>
      <c r="K47" s="8"/>
      <c r="L47" s="8"/>
      <c r="M47" s="8"/>
      <c r="N47" s="8"/>
      <c r="O47" s="8"/>
      <c r="P47" s="8"/>
      <c r="Q47" s="8"/>
      <c r="R47" s="8"/>
    </row>
    <row r="48" spans="1:22" x14ac:dyDescent="0.3">
      <c r="A48" s="8"/>
      <c r="B48" s="8"/>
      <c r="C48" s="8"/>
      <c r="D48" s="8"/>
      <c r="E48" s="8"/>
      <c r="F48" s="8"/>
      <c r="G48" s="8"/>
      <c r="H48" s="8"/>
      <c r="I48" s="8"/>
      <c r="J48" s="8"/>
      <c r="K48" s="8"/>
      <c r="L48" s="8"/>
      <c r="M48" s="8"/>
      <c r="N48" s="8"/>
      <c r="O48" s="8"/>
      <c r="P48" s="72"/>
      <c r="Q48" s="72"/>
      <c r="R48" s="8"/>
    </row>
    <row r="49" spans="1:18" x14ac:dyDescent="0.3">
      <c r="A49" s="8"/>
      <c r="B49" s="8"/>
      <c r="C49" s="8"/>
      <c r="D49" s="8"/>
      <c r="E49" s="8"/>
      <c r="F49" s="8"/>
      <c r="G49" s="8"/>
      <c r="H49" s="8"/>
      <c r="I49" s="8"/>
      <c r="J49" s="8"/>
      <c r="K49" s="8"/>
      <c r="L49" s="8"/>
      <c r="M49" s="8"/>
      <c r="N49" s="8"/>
      <c r="O49" s="8"/>
      <c r="P49" s="72"/>
      <c r="Q49" s="72"/>
      <c r="R49" s="8"/>
    </row>
    <row r="50" spans="1:18" ht="14.4" customHeight="1" x14ac:dyDescent="0.3">
      <c r="A50" s="8"/>
      <c r="B50" s="8"/>
      <c r="C50" s="8"/>
      <c r="D50" s="8"/>
      <c r="E50" s="8"/>
      <c r="F50" s="8"/>
      <c r="G50" s="8"/>
      <c r="H50" s="8"/>
      <c r="I50" s="8"/>
      <c r="J50" s="8"/>
      <c r="K50" s="8"/>
      <c r="L50" s="8"/>
      <c r="M50" s="8"/>
      <c r="N50" s="8"/>
      <c r="O50" s="8"/>
      <c r="P50" s="72"/>
      <c r="Q50" s="72"/>
      <c r="R50" s="8"/>
    </row>
    <row r="51" spans="1:18" x14ac:dyDescent="0.3">
      <c r="A51" s="8"/>
      <c r="B51" s="8"/>
      <c r="C51" s="8"/>
      <c r="D51" s="8"/>
      <c r="E51" s="8"/>
      <c r="F51" s="8"/>
      <c r="G51" s="8"/>
      <c r="H51" s="8"/>
      <c r="I51" s="8"/>
      <c r="J51" s="8"/>
      <c r="K51" s="8"/>
      <c r="L51" s="8"/>
      <c r="M51" s="8"/>
      <c r="N51" s="8"/>
      <c r="O51" s="8"/>
      <c r="P51" s="72"/>
      <c r="Q51" s="72"/>
      <c r="R51" s="8"/>
    </row>
    <row r="52" spans="1:18" ht="14.4" customHeight="1" x14ac:dyDescent="0.3">
      <c r="A52" s="8"/>
      <c r="B52" s="8"/>
      <c r="C52" s="8"/>
      <c r="D52" s="8"/>
      <c r="E52" s="8"/>
      <c r="F52" s="8"/>
      <c r="G52" s="8"/>
      <c r="H52" s="8"/>
      <c r="I52" s="8"/>
      <c r="J52" s="8"/>
      <c r="K52" s="8"/>
      <c r="L52" s="8"/>
      <c r="M52" s="8"/>
      <c r="N52" s="8"/>
      <c r="O52" s="8"/>
      <c r="P52" s="72"/>
      <c r="Q52" s="72"/>
      <c r="R52" s="8"/>
    </row>
    <row r="53" spans="1:18" x14ac:dyDescent="0.3">
      <c r="A53" s="8"/>
      <c r="B53" s="8"/>
      <c r="C53" s="8"/>
      <c r="D53" s="8"/>
      <c r="E53" s="8"/>
      <c r="F53" s="8"/>
      <c r="G53" s="8"/>
      <c r="H53" s="8"/>
      <c r="I53" s="8"/>
      <c r="J53" s="8"/>
      <c r="K53" s="8"/>
      <c r="L53" s="8"/>
      <c r="M53" s="8"/>
      <c r="N53" s="8"/>
      <c r="O53" s="8"/>
      <c r="P53" s="72"/>
      <c r="Q53" s="8"/>
      <c r="R53" s="8"/>
    </row>
    <row r="54" spans="1:18" ht="14.4" customHeight="1" x14ac:dyDescent="0.3">
      <c r="A54" s="8"/>
      <c r="B54" s="8"/>
      <c r="C54" s="8"/>
      <c r="D54" s="8"/>
      <c r="E54" s="8"/>
      <c r="F54" s="8"/>
      <c r="G54" s="8"/>
      <c r="H54" s="8"/>
      <c r="I54" s="8"/>
      <c r="J54" s="8"/>
      <c r="K54" s="8"/>
      <c r="L54" s="8"/>
      <c r="M54" s="8"/>
      <c r="N54" s="8"/>
      <c r="O54" s="8"/>
      <c r="P54" s="72"/>
      <c r="Q54" s="72"/>
      <c r="R54" s="8"/>
    </row>
    <row r="55" spans="1:18" x14ac:dyDescent="0.3">
      <c r="A55" s="8"/>
      <c r="B55" s="8"/>
      <c r="C55" s="8"/>
      <c r="D55" s="8"/>
      <c r="E55" s="8"/>
      <c r="F55" s="8"/>
      <c r="G55" s="8"/>
      <c r="H55" s="8"/>
      <c r="I55" s="8"/>
      <c r="J55" s="71"/>
      <c r="K55" s="71"/>
      <c r="L55" s="8"/>
      <c r="M55" s="8"/>
      <c r="N55" s="8"/>
      <c r="O55" s="8"/>
      <c r="P55" s="8"/>
      <c r="Q55" s="8"/>
      <c r="R55" s="8"/>
    </row>
    <row r="56" spans="1:18" x14ac:dyDescent="0.3">
      <c r="A56" s="8"/>
      <c r="B56" s="8"/>
      <c r="C56" s="8"/>
      <c r="D56" s="8"/>
      <c r="E56" s="8"/>
      <c r="F56" s="8"/>
      <c r="G56" s="8"/>
      <c r="H56" s="8"/>
      <c r="I56" s="8"/>
      <c r="J56" s="71"/>
      <c r="K56" s="71"/>
      <c r="L56" s="8"/>
      <c r="M56" s="8"/>
      <c r="N56" s="8"/>
      <c r="O56" s="8"/>
      <c r="P56" s="8"/>
      <c r="Q56" s="8"/>
      <c r="R56" s="8"/>
    </row>
    <row r="57" spans="1:18" x14ac:dyDescent="0.3">
      <c r="B57" s="8"/>
      <c r="C57" s="8"/>
      <c r="D57" s="8"/>
      <c r="E57" s="8"/>
      <c r="F57" s="8"/>
      <c r="G57" s="8"/>
      <c r="H57" s="8"/>
      <c r="J57" s="71"/>
      <c r="K57" s="71"/>
      <c r="L57" s="8"/>
      <c r="M57" s="8"/>
      <c r="N57" s="8"/>
      <c r="O57" s="8"/>
    </row>
    <row r="58" spans="1:18" x14ac:dyDescent="0.3">
      <c r="H58" s="8"/>
      <c r="J58" s="71"/>
      <c r="K58" s="71"/>
      <c r="L58" s="8"/>
      <c r="M58" s="8"/>
      <c r="N58" s="8"/>
      <c r="O58" s="8"/>
    </row>
    <row r="59" spans="1:18" x14ac:dyDescent="0.3">
      <c r="H59" s="8"/>
      <c r="J59" s="71"/>
      <c r="K59" s="71"/>
      <c r="L59" s="8"/>
      <c r="M59" s="8"/>
      <c r="N59" s="8"/>
      <c r="O59" s="8"/>
    </row>
    <row r="60" spans="1:18" x14ac:dyDescent="0.3">
      <c r="H60" s="8"/>
      <c r="J60" s="71"/>
      <c r="K60" s="71"/>
      <c r="L60" s="8"/>
      <c r="M60" s="8"/>
      <c r="N60" s="8"/>
      <c r="O60" s="8"/>
    </row>
    <row r="61" spans="1:18" x14ac:dyDescent="0.3">
      <c r="H61" s="8"/>
      <c r="J61" s="71"/>
      <c r="K61" s="71"/>
      <c r="L61" s="8"/>
      <c r="M61" s="8"/>
      <c r="N61" s="8"/>
      <c r="O61" s="8"/>
    </row>
    <row r="62" spans="1:18" x14ac:dyDescent="0.3">
      <c r="H62" s="8"/>
      <c r="J62" s="71"/>
      <c r="K62" s="71"/>
      <c r="L62" s="8"/>
      <c r="M62" s="8"/>
      <c r="N62" s="8"/>
      <c r="O62" s="8"/>
    </row>
    <row r="71" spans="2:9" ht="14.4" customHeight="1" x14ac:dyDescent="0.3"/>
    <row r="73" spans="2:9" x14ac:dyDescent="0.3">
      <c r="B73" s="2"/>
      <c r="F73" s="7"/>
      <c r="G73" s="7"/>
      <c r="H73" s="7"/>
      <c r="I73" s="7"/>
    </row>
    <row r="74" spans="2:9" x14ac:dyDescent="0.3">
      <c r="B74" s="2"/>
      <c r="F74" s="7"/>
      <c r="G74" s="7"/>
      <c r="H74" s="7"/>
      <c r="I74" s="7"/>
    </row>
    <row r="83" spans="2:18" x14ac:dyDescent="0.3">
      <c r="B83" s="248" t="s">
        <v>10</v>
      </c>
      <c r="C83" s="248"/>
      <c r="D83" s="248"/>
      <c r="E83" s="248"/>
      <c r="F83" s="248"/>
      <c r="G83" s="116"/>
      <c r="H83" s="7"/>
    </row>
    <row r="84" spans="2:18" x14ac:dyDescent="0.3">
      <c r="C84" s="115" t="s">
        <v>3</v>
      </c>
      <c r="E84" s="115" t="s">
        <v>6</v>
      </c>
      <c r="F84" s="115" t="s">
        <v>4</v>
      </c>
      <c r="G84" s="115" t="s">
        <v>5</v>
      </c>
      <c r="H84" s="115" t="s">
        <v>4</v>
      </c>
      <c r="I84" s="115" t="s">
        <v>5</v>
      </c>
      <c r="J84" s="115" t="s">
        <v>9</v>
      </c>
    </row>
    <row r="85" spans="2:18" x14ac:dyDescent="0.3">
      <c r="B85" s="2">
        <v>0.75</v>
      </c>
      <c r="C85" s="2"/>
      <c r="E85" s="45">
        <f t="shared" ref="E85:G90" si="4">N18</f>
        <v>0</v>
      </c>
      <c r="F85" s="45">
        <f t="shared" si="4"/>
        <v>0</v>
      </c>
      <c r="G85" s="45">
        <f t="shared" si="4"/>
        <v>0</v>
      </c>
      <c r="H85" s="114" t="e">
        <f>ROUND(#REF!* F13*B85*'Avoc rates'!B33*0.45,0)</f>
        <v>#REF!</v>
      </c>
      <c r="I85" s="114" t="e">
        <f>ROUND(#REF!* F14*B85*'Avoc rates'!C33*0.45,0)</f>
        <v>#REF!</v>
      </c>
      <c r="J85" s="46" t="e">
        <f>E85+F85+G85+H85+I85</f>
        <v>#REF!</v>
      </c>
    </row>
    <row r="86" spans="2:18" x14ac:dyDescent="0.3">
      <c r="B86" s="2">
        <v>0.7</v>
      </c>
      <c r="C86" s="2"/>
      <c r="E86" s="45">
        <f t="shared" si="4"/>
        <v>0</v>
      </c>
      <c r="F86" s="45">
        <f t="shared" si="4"/>
        <v>0</v>
      </c>
      <c r="G86" s="45">
        <f t="shared" si="4"/>
        <v>0</v>
      </c>
      <c r="H86" s="114" t="e">
        <f>ROUND(#REF!* F13*B86*'Avoc rates'!B34*0.41,0)</f>
        <v>#REF!</v>
      </c>
      <c r="I86" s="114" t="e">
        <f>ROUND(#REF!* F14*B86*'Avoc rates'!C34*0.41,0)</f>
        <v>#REF!</v>
      </c>
      <c r="J86" s="46" t="e">
        <f t="shared" ref="J86:J90" si="5">E86+F86+G86+H86+I86</f>
        <v>#REF!</v>
      </c>
      <c r="Q86" s="115"/>
    </row>
    <row r="87" spans="2:18" x14ac:dyDescent="0.3">
      <c r="B87" s="2">
        <v>0.65</v>
      </c>
      <c r="C87" s="2"/>
      <c r="E87" s="45">
        <f t="shared" si="4"/>
        <v>0</v>
      </c>
      <c r="F87" s="45">
        <f t="shared" si="4"/>
        <v>0</v>
      </c>
      <c r="G87" s="45">
        <f t="shared" si="4"/>
        <v>0</v>
      </c>
      <c r="H87" s="114" t="e">
        <f>ROUND(#REF!* F13*B87*'Avoc rates'!B35*0.41,0)</f>
        <v>#REF!</v>
      </c>
      <c r="I87" s="114" t="e">
        <f>ROUND(#REF!*F14*B87*'Avoc rates'!C35*0.41,0)</f>
        <v>#REF!</v>
      </c>
      <c r="J87" s="46" t="e">
        <f t="shared" si="5"/>
        <v>#REF!</v>
      </c>
      <c r="Q87" s="115"/>
    </row>
    <row r="88" spans="2:18" x14ac:dyDescent="0.3">
      <c r="B88" s="2">
        <v>0.6</v>
      </c>
      <c r="C88" s="2"/>
      <c r="E88" s="45">
        <f t="shared" si="4"/>
        <v>0</v>
      </c>
      <c r="F88" s="45">
        <f t="shared" si="4"/>
        <v>0</v>
      </c>
      <c r="G88" s="45">
        <f t="shared" si="4"/>
        <v>0</v>
      </c>
      <c r="H88" s="114" t="e">
        <f>ROUND(#REF!* F13*B88*'Avoc rates'!B36*0.36,0)</f>
        <v>#REF!</v>
      </c>
      <c r="I88" s="114" t="e">
        <f>ROUND(#REF!* F14*B88*'Avoc rates'!C36*0.36,0)</f>
        <v>#REF!</v>
      </c>
      <c r="J88" s="46" t="e">
        <f t="shared" si="5"/>
        <v>#REF!</v>
      </c>
      <c r="Q88" s="115"/>
    </row>
    <row r="89" spans="2:18" x14ac:dyDescent="0.3">
      <c r="B89" s="2">
        <v>0.55000000000000004</v>
      </c>
      <c r="C89" s="2"/>
      <c r="E89" s="45">
        <f t="shared" si="4"/>
        <v>0</v>
      </c>
      <c r="F89" s="45">
        <f t="shared" si="4"/>
        <v>0</v>
      </c>
      <c r="G89" s="45">
        <f t="shared" si="4"/>
        <v>0</v>
      </c>
      <c r="H89" s="114" t="e">
        <f>ROUND(#REF!* F13*B89*'Avoc rates'!B37*0.36,0)</f>
        <v>#REF!</v>
      </c>
      <c r="I89" s="114" t="e">
        <f>ROUND(#REF!* F14*B89*'Avoc rates'!C37*0.36,0)</f>
        <v>#REF!</v>
      </c>
      <c r="J89" s="46" t="e">
        <f t="shared" si="5"/>
        <v>#REF!</v>
      </c>
      <c r="Q89" s="115"/>
    </row>
    <row r="90" spans="2:18" x14ac:dyDescent="0.3">
      <c r="B90" s="2">
        <v>0.5</v>
      </c>
      <c r="C90" s="2"/>
      <c r="E90" s="45">
        <f t="shared" si="4"/>
        <v>0</v>
      </c>
      <c r="F90" s="45">
        <f t="shared" si="4"/>
        <v>0</v>
      </c>
      <c r="G90" s="45">
        <f t="shared" si="4"/>
        <v>0</v>
      </c>
      <c r="H90" s="114" t="e">
        <f>ROUND(#REF!* F13*B90*'Avoc rates'!B38*0.33,0)</f>
        <v>#REF!</v>
      </c>
      <c r="I90" s="114" t="e">
        <f>ROUND(#REF!* F14*B90*'Avoc rates'!C38*0.33,0)</f>
        <v>#REF!</v>
      </c>
      <c r="J90" s="46" t="e">
        <f t="shared" si="5"/>
        <v>#REF!</v>
      </c>
      <c r="Q90" s="115"/>
    </row>
    <row r="91" spans="2:18" x14ac:dyDescent="0.3">
      <c r="Q91" s="115"/>
    </row>
    <row r="92" spans="2:18" x14ac:dyDescent="0.3">
      <c r="Q92" s="115"/>
    </row>
    <row r="93" spans="2:18" x14ac:dyDescent="0.3">
      <c r="Q93" s="115"/>
    </row>
    <row r="94" spans="2:18" x14ac:dyDescent="0.3">
      <c r="B94" s="47" t="s">
        <v>16</v>
      </c>
      <c r="Q94" s="115"/>
    </row>
    <row r="95" spans="2:18" x14ac:dyDescent="0.3">
      <c r="Q95" s="115"/>
      <c r="R95" s="115"/>
    </row>
    <row r="96" spans="2:18" x14ac:dyDescent="0.3">
      <c r="B96" t="s">
        <v>17</v>
      </c>
      <c r="Q96" s="115"/>
      <c r="R96" s="115"/>
    </row>
    <row r="97" spans="17:18" x14ac:dyDescent="0.3">
      <c r="Q97" s="115"/>
      <c r="R97" s="115"/>
    </row>
    <row r="98" spans="17:18" x14ac:dyDescent="0.3">
      <c r="Q98" s="115"/>
      <c r="R98" s="115"/>
    </row>
    <row r="99" spans="17:18" x14ac:dyDescent="0.3">
      <c r="Q99" s="115"/>
      <c r="R99" s="115"/>
    </row>
    <row r="100" spans="17:18" x14ac:dyDescent="0.3">
      <c r="Q100" s="115"/>
      <c r="R100" s="115"/>
    </row>
    <row r="101" spans="17:18" x14ac:dyDescent="0.3">
      <c r="Q101" s="115"/>
      <c r="R101" s="115"/>
    </row>
    <row r="102" spans="17:18" x14ac:dyDescent="0.3">
      <c r="Q102" s="115"/>
      <c r="R102" s="115"/>
    </row>
    <row r="103" spans="17:18" x14ac:dyDescent="0.3">
      <c r="Q103" s="115"/>
      <c r="R103" s="115"/>
    </row>
    <row r="104" spans="17:18" x14ac:dyDescent="0.3">
      <c r="Q104" s="115"/>
      <c r="R104" s="115"/>
    </row>
    <row r="105" spans="17:18" x14ac:dyDescent="0.3">
      <c r="Q105" s="115"/>
      <c r="R105" s="115"/>
    </row>
    <row r="106" spans="17:18" x14ac:dyDescent="0.3">
      <c r="Q106" s="115"/>
    </row>
    <row r="107" spans="17:18" x14ac:dyDescent="0.3">
      <c r="Q107" s="115"/>
    </row>
    <row r="108" spans="17:18" x14ac:dyDescent="0.3">
      <c r="Q108" s="115"/>
    </row>
  </sheetData>
  <sheetProtection algorithmName="SHA-512" hashValue="Jl8lbSqkc0RXI6wfq83+Y0DPVMD0iURs1bcQBoS1bUiXHtcpRLvqV8ftanAp3leya4HySA592zX9Of6bM1IrIQ==" saltValue="KUUJpgI/vAIK70fhEYz4Ig==" spinCount="100000" sheet="1" objects="1" scenarios="1"/>
  <mergeCells count="60">
    <mergeCell ref="L9:L11"/>
    <mergeCell ref="P37:P38"/>
    <mergeCell ref="E9:E11"/>
    <mergeCell ref="F9:F11"/>
    <mergeCell ref="C31:C32"/>
    <mergeCell ref="C36:I36"/>
    <mergeCell ref="G31:I35"/>
    <mergeCell ref="O31:O32"/>
    <mergeCell ref="C27:I29"/>
    <mergeCell ref="K27:Q29"/>
    <mergeCell ref="L16:L17"/>
    <mergeCell ref="M16:M17"/>
    <mergeCell ref="N16:P16"/>
    <mergeCell ref="Q16:Q17"/>
    <mergeCell ref="C16:C17"/>
    <mergeCell ref="D16:D17"/>
    <mergeCell ref="D3:G4"/>
    <mergeCell ref="M3:P4"/>
    <mergeCell ref="C5:I7"/>
    <mergeCell ref="K5:Q7"/>
    <mergeCell ref="G12:G14"/>
    <mergeCell ref="H12:H14"/>
    <mergeCell ref="N12:N14"/>
    <mergeCell ref="O12:O14"/>
    <mergeCell ref="C9:C11"/>
    <mergeCell ref="G9:G11"/>
    <mergeCell ref="H9:H11"/>
    <mergeCell ref="M9:M11"/>
    <mergeCell ref="N9:N11"/>
    <mergeCell ref="O9:O11"/>
    <mergeCell ref="K9:K11"/>
    <mergeCell ref="D9:D11"/>
    <mergeCell ref="E16:E17"/>
    <mergeCell ref="F16:H16"/>
    <mergeCell ref="I16:I17"/>
    <mergeCell ref="K16:K17"/>
    <mergeCell ref="L33:L34"/>
    <mergeCell ref="M33:M34"/>
    <mergeCell ref="N33:N34"/>
    <mergeCell ref="D31:F31"/>
    <mergeCell ref="K31:K32"/>
    <mergeCell ref="L31:N31"/>
    <mergeCell ref="C33:C34"/>
    <mergeCell ref="D33:D34"/>
    <mergeCell ref="E33:E34"/>
    <mergeCell ref="F33:F34"/>
    <mergeCell ref="K33:K34"/>
    <mergeCell ref="N37:N38"/>
    <mergeCell ref="O37:O38"/>
    <mergeCell ref="C37:C38"/>
    <mergeCell ref="D37:D38"/>
    <mergeCell ref="E37:E38"/>
    <mergeCell ref="F37:F38"/>
    <mergeCell ref="H37:H38"/>
    <mergeCell ref="G37:G38"/>
    <mergeCell ref="B83:F83"/>
    <mergeCell ref="I37:I38"/>
    <mergeCell ref="K37:K38"/>
    <mergeCell ref="L37:L38"/>
    <mergeCell ref="M37:M38"/>
  </mergeCells>
  <dataValidations count="8">
    <dataValidation type="whole" allowBlank="1" showInputMessage="1" showErrorMessage="1" error="Exceeds total number of trees Stage I" sqref="D33:D34">
      <formula1>0</formula1>
      <formula2>F12</formula2>
    </dataValidation>
    <dataValidation type="list" allowBlank="1" showInputMessage="1" showErrorMessage="1" prompt="Please select coverage level_x000a_" sqref="N12">
      <formula1>$K$18:$K$23</formula1>
    </dataValidation>
    <dataValidation type="list" allowBlank="1" showInputMessage="1" showErrorMessage="1" prompt="Please select coverage level" sqref="G12">
      <formula1>$C$18:$C$23</formula1>
    </dataValidation>
    <dataValidation type="whole" allowBlank="1" showInputMessage="1" showErrorMessage="1" error="Exceeds total number of trees Stage II" sqref="E33:E34">
      <formula1>0</formula1>
      <formula2>F13</formula2>
    </dataValidation>
    <dataValidation type="whole" allowBlank="1" showInputMessage="1" showErrorMessage="1" error="Exceeds total number of trees Stage III" sqref="F33:F34">
      <formula1>0</formula1>
      <formula2>F14</formula2>
    </dataValidation>
    <dataValidation type="whole" allowBlank="1" showInputMessage="1" showErrorMessage="1" error="Exceeds total number of trees Stage I" sqref="L33:L34">
      <formula1>0</formula1>
      <formula2>M12</formula2>
    </dataValidation>
    <dataValidation type="whole" allowBlank="1" showInputMessage="1" showErrorMessage="1" error="Exceeds total number of trees Stage II" sqref="M33:M34">
      <formula1>0</formula1>
      <formula2>M13</formula2>
    </dataValidation>
    <dataValidation type="whole" allowBlank="1" showInputMessage="1" showErrorMessage="1" error="Exceeds total number of trees Stage III" sqref="N33:N34">
      <formula1>0</formula1>
      <formula2>M14</formula2>
    </dataValidation>
  </dataValidations>
  <hyperlinks>
    <hyperlink ref="B94"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6">
        <x14:dataValidation type="list" allowBlank="1" showInputMessage="1" showErrorMessage="1" prompt="Please Select %">
          <x14:formula1>
            <xm:f>'Avoc rates'!$H$4:$H$24</xm:f>
          </x14:formula1>
          <xm:sqref>M35</xm:sqref>
        </x14:dataValidation>
        <x14:dataValidation type="list" allowBlank="1" showInputMessage="1" showErrorMessage="1" prompt="Please Select %">
          <x14:formula1>
            <xm:f>'Avoc rates'!$G$4:$G$24</xm:f>
          </x14:formula1>
          <xm:sqref>L35</xm:sqref>
        </x14:dataValidation>
        <x14:dataValidation type="list" allowBlank="1" showInputMessage="1" showErrorMessage="1" prompt="Please Select %">
          <x14:formula1>
            <xm:f>'Avoc rates'!$I$4:$I$24</xm:f>
          </x14:formula1>
          <xm:sqref>N35</xm:sqref>
        </x14:dataValidation>
        <x14:dataValidation type="list" allowBlank="1" showInputMessage="1" showErrorMessage="1" prompt="Please select %">
          <x14:formula1>
            <xm:f>'Avoc rates'!$I$4:$I$24</xm:f>
          </x14:formula1>
          <xm:sqref>F35</xm:sqref>
        </x14:dataValidation>
        <x14:dataValidation type="list" allowBlank="1" showInputMessage="1" showErrorMessage="1" prompt="Please select %">
          <x14:formula1>
            <xm:f>'Avoc rates'!$H$4:$H$24</xm:f>
          </x14:formula1>
          <xm:sqref>E35</xm:sqref>
        </x14:dataValidation>
        <x14:dataValidation type="list" allowBlank="1" showInputMessage="1" showErrorMessage="1" prompt="Please select %">
          <x14:formula1>
            <xm:f>'Avoc rates'!$G$4:$G$24</xm:f>
          </x14:formula1>
          <xm:sqref>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3" workbookViewId="0">
      <selection activeCell="C24" sqref="C24"/>
    </sheetView>
  </sheetViews>
  <sheetFormatPr defaultRowHeight="14.4" x14ac:dyDescent="0.3"/>
  <cols>
    <col min="2" max="2" width="18.44140625" customWidth="1"/>
    <col min="3" max="3" width="17" customWidth="1"/>
    <col min="4" max="4" width="17.33203125" customWidth="1"/>
    <col min="7" max="7" width="9.6640625" customWidth="1"/>
    <col min="8" max="8" width="7.6640625" customWidth="1"/>
    <col min="9" max="9" width="8.44140625" customWidth="1"/>
    <col min="13" max="14" width="8.88671875" customWidth="1"/>
  </cols>
  <sheetData>
    <row r="1" spans="1:10" ht="18" x14ac:dyDescent="0.35">
      <c r="A1" s="10" t="s">
        <v>13</v>
      </c>
      <c r="B1" s="11"/>
      <c r="C1" s="11"/>
      <c r="D1" s="11"/>
      <c r="E1" s="11"/>
      <c r="F1" s="11"/>
      <c r="J1" s="12"/>
    </row>
    <row r="2" spans="1:10" ht="17.399999999999999" thickBot="1" x14ac:dyDescent="0.4">
      <c r="A2" s="11"/>
      <c r="B2" s="13" t="s">
        <v>0</v>
      </c>
      <c r="C2" s="13" t="s">
        <v>1</v>
      </c>
      <c r="D2" s="13" t="s">
        <v>2</v>
      </c>
      <c r="E2" s="11"/>
      <c r="F2" s="11"/>
      <c r="H2" t="s">
        <v>7</v>
      </c>
      <c r="J2" s="12"/>
    </row>
    <row r="3" spans="1:10" ht="18" customHeight="1" x14ac:dyDescent="0.35">
      <c r="A3" s="14">
        <v>0.75</v>
      </c>
      <c r="B3" s="15">
        <v>2.3805E-2</v>
      </c>
      <c r="C3" s="16">
        <v>2.3805E-2</v>
      </c>
      <c r="D3" s="17">
        <v>2.3805E-2</v>
      </c>
      <c r="E3" s="11"/>
      <c r="F3" s="11"/>
      <c r="G3" s="144" t="s">
        <v>6</v>
      </c>
      <c r="H3" s="144" t="s">
        <v>4</v>
      </c>
      <c r="I3" s="144" t="s">
        <v>5</v>
      </c>
      <c r="J3" s="12"/>
    </row>
    <row r="4" spans="1:10" ht="18" customHeight="1" x14ac:dyDescent="0.35">
      <c r="A4" s="18">
        <v>0.7</v>
      </c>
      <c r="B4" s="19">
        <v>2.2356000000000001E-2</v>
      </c>
      <c r="C4" s="20">
        <v>2.2356000000000001E-2</v>
      </c>
      <c r="D4" s="21">
        <v>2.2356000000000001E-2</v>
      </c>
      <c r="E4" s="11"/>
      <c r="F4" s="11"/>
      <c r="G4" s="66">
        <v>0</v>
      </c>
      <c r="H4" s="66">
        <v>0</v>
      </c>
      <c r="I4" s="66">
        <v>0</v>
      </c>
      <c r="J4" s="12"/>
    </row>
    <row r="5" spans="1:10" ht="18" customHeight="1" x14ac:dyDescent="0.35">
      <c r="A5" s="18">
        <v>0.65</v>
      </c>
      <c r="B5" s="19">
        <v>2.07E-2</v>
      </c>
      <c r="C5" s="20">
        <v>2.07E-2</v>
      </c>
      <c r="D5" s="22">
        <v>2.07E-2</v>
      </c>
      <c r="E5" s="11"/>
      <c r="F5" s="11"/>
      <c r="G5" s="65">
        <v>0.05</v>
      </c>
      <c r="H5" s="65">
        <v>0.05</v>
      </c>
      <c r="I5" s="65">
        <v>0.05</v>
      </c>
      <c r="J5" s="12"/>
    </row>
    <row r="6" spans="1:10" ht="18" customHeight="1" x14ac:dyDescent="0.35">
      <c r="A6" s="18">
        <v>0.6</v>
      </c>
      <c r="B6" s="23">
        <v>1.8837E-2</v>
      </c>
      <c r="C6" s="24">
        <v>1.8837E-2</v>
      </c>
      <c r="D6" s="22">
        <v>1.8837E-2</v>
      </c>
      <c r="E6" s="11"/>
      <c r="F6" s="11"/>
      <c r="G6" s="65">
        <v>0.1</v>
      </c>
      <c r="H6" s="65">
        <v>0.1</v>
      </c>
      <c r="I6" s="65">
        <v>0.1</v>
      </c>
      <c r="J6" s="12"/>
    </row>
    <row r="7" spans="1:10" ht="18" customHeight="1" x14ac:dyDescent="0.35">
      <c r="A7" s="18">
        <v>0.55000000000000004</v>
      </c>
      <c r="B7" s="23">
        <v>1.6767000000000001E-2</v>
      </c>
      <c r="C7" s="20">
        <v>1.6767000000000001E-2</v>
      </c>
      <c r="D7" s="21">
        <v>1.6767000000000001E-2</v>
      </c>
      <c r="E7" s="11"/>
      <c r="F7" s="11"/>
      <c r="G7" s="65">
        <v>0.15</v>
      </c>
      <c r="H7" s="65">
        <v>0.15</v>
      </c>
      <c r="I7" s="65">
        <v>0.15</v>
      </c>
      <c r="J7" s="12"/>
    </row>
    <row r="8" spans="1:10" ht="18" customHeight="1" x14ac:dyDescent="0.35">
      <c r="A8" s="18">
        <v>0.5</v>
      </c>
      <c r="B8" s="23">
        <v>1.5110999999999999E-2</v>
      </c>
      <c r="C8" s="24">
        <v>1.5110999999999999E-2</v>
      </c>
      <c r="D8" s="22">
        <v>1.5110999999999999E-2</v>
      </c>
      <c r="E8" s="11"/>
      <c r="F8" s="11"/>
      <c r="G8" s="65">
        <v>0.2</v>
      </c>
      <c r="H8" s="65">
        <v>0.2</v>
      </c>
      <c r="I8" s="65">
        <v>0.2</v>
      </c>
      <c r="J8" s="12"/>
    </row>
    <row r="9" spans="1:10" ht="18" customHeight="1" x14ac:dyDescent="0.35">
      <c r="A9" s="25" t="s">
        <v>14</v>
      </c>
      <c r="B9" s="26">
        <v>7.659E-3</v>
      </c>
      <c r="C9" s="27">
        <v>7.659E-3</v>
      </c>
      <c r="D9" s="28">
        <v>7.659E-3</v>
      </c>
      <c r="E9" s="11"/>
      <c r="F9" s="11"/>
      <c r="G9" s="65">
        <v>0.25</v>
      </c>
      <c r="H9" s="65">
        <v>0.25</v>
      </c>
      <c r="I9" s="65">
        <v>0.25</v>
      </c>
      <c r="J9" s="12"/>
    </row>
    <row r="10" spans="1:10" ht="16.8" x14ac:dyDescent="0.35">
      <c r="A10" s="11"/>
      <c r="B10" s="11"/>
      <c r="C10" s="11"/>
      <c r="D10" s="11"/>
      <c r="E10" s="11"/>
      <c r="F10" s="11"/>
      <c r="G10" s="65">
        <v>0.3</v>
      </c>
      <c r="H10" s="65">
        <v>0.3</v>
      </c>
      <c r="I10" s="65">
        <v>0.3</v>
      </c>
      <c r="J10" s="12"/>
    </row>
    <row r="11" spans="1:10" ht="16.8" x14ac:dyDescent="0.35">
      <c r="A11" s="11"/>
      <c r="B11" s="295" t="s">
        <v>81</v>
      </c>
      <c r="C11" s="297"/>
      <c r="D11" s="296"/>
      <c r="E11" s="11"/>
      <c r="F11" s="11"/>
      <c r="G11" s="65">
        <v>0.35</v>
      </c>
      <c r="H11" s="65">
        <v>0.35</v>
      </c>
      <c r="I11" s="65">
        <v>0.35</v>
      </c>
      <c r="J11" s="12"/>
    </row>
    <row r="12" spans="1:10" ht="17.399999999999999" thickBot="1" x14ac:dyDescent="0.4">
      <c r="A12" s="11"/>
      <c r="B12" s="13" t="s">
        <v>0</v>
      </c>
      <c r="C12" s="13" t="s">
        <v>1</v>
      </c>
      <c r="D12" s="13" t="s">
        <v>2</v>
      </c>
      <c r="E12" s="11"/>
      <c r="F12" s="11"/>
      <c r="G12" s="65">
        <v>0.4</v>
      </c>
      <c r="H12" s="65">
        <v>0.4</v>
      </c>
      <c r="I12" s="65">
        <v>0.4</v>
      </c>
      <c r="J12" s="12"/>
    </row>
    <row r="13" spans="1:10" ht="18" customHeight="1" x14ac:dyDescent="0.35">
      <c r="A13" s="14">
        <v>0.75</v>
      </c>
      <c r="B13" s="15">
        <v>4.0500000000000001E-2</v>
      </c>
      <c r="C13" s="16">
        <v>4.0500000000000001E-2</v>
      </c>
      <c r="D13" s="17">
        <v>4.0500000000000001E-2</v>
      </c>
      <c r="E13" s="11"/>
      <c r="F13" s="11"/>
      <c r="G13" s="65">
        <v>0.45</v>
      </c>
      <c r="H13" s="65">
        <v>0.45</v>
      </c>
      <c r="I13" s="65">
        <v>0.45</v>
      </c>
      <c r="J13" s="12"/>
    </row>
    <row r="14" spans="1:10" ht="18" customHeight="1" x14ac:dyDescent="0.35">
      <c r="A14" s="18">
        <v>0.7</v>
      </c>
      <c r="B14" s="23">
        <v>4.0500000000000001E-2</v>
      </c>
      <c r="C14" s="24">
        <v>4.0500000000000001E-2</v>
      </c>
      <c r="D14" s="22">
        <v>4.0500000000000001E-2</v>
      </c>
      <c r="E14" s="11"/>
      <c r="F14" s="11"/>
      <c r="G14" s="65">
        <v>0.5</v>
      </c>
      <c r="H14" s="65">
        <v>0.5</v>
      </c>
      <c r="I14" s="65">
        <v>0.5</v>
      </c>
      <c r="J14" s="12"/>
    </row>
    <row r="15" spans="1:10" ht="18" customHeight="1" x14ac:dyDescent="0.35">
      <c r="A15" s="18">
        <v>0.65</v>
      </c>
      <c r="B15" s="23">
        <v>4.0500000000000001E-2</v>
      </c>
      <c r="C15" s="24">
        <v>4.0500000000000001E-2</v>
      </c>
      <c r="D15" s="21">
        <v>4.0500000000000001E-2</v>
      </c>
      <c r="E15" s="11"/>
      <c r="F15" s="11"/>
      <c r="G15" s="65">
        <v>0.55000000000000004</v>
      </c>
      <c r="H15" s="65">
        <v>0.55000000000000004</v>
      </c>
      <c r="I15" s="65">
        <v>0.55000000000000004</v>
      </c>
      <c r="J15" s="12"/>
    </row>
    <row r="16" spans="1:10" ht="18" customHeight="1" x14ac:dyDescent="0.35">
      <c r="A16" s="18">
        <v>0.6</v>
      </c>
      <c r="B16" s="23">
        <v>4.0500000000000001E-2</v>
      </c>
      <c r="C16" s="24">
        <v>4.0500000000000001E-2</v>
      </c>
      <c r="D16" s="21">
        <v>4.0500000000000001E-2</v>
      </c>
      <c r="E16" s="11"/>
      <c r="F16" s="11"/>
      <c r="G16" s="65">
        <v>0.6</v>
      </c>
      <c r="H16" s="65">
        <v>0.6</v>
      </c>
      <c r="I16" s="65">
        <v>0.6</v>
      </c>
      <c r="J16" s="12"/>
    </row>
    <row r="17" spans="1:10" ht="18" customHeight="1" x14ac:dyDescent="0.35">
      <c r="A17" s="18">
        <v>0.55000000000000004</v>
      </c>
      <c r="B17" s="23">
        <v>4.0500000000000001E-2</v>
      </c>
      <c r="C17" s="24">
        <v>4.0500000000000001E-2</v>
      </c>
      <c r="D17" s="21">
        <v>4.0500000000000001E-2</v>
      </c>
      <c r="E17" s="11"/>
      <c r="F17" s="11"/>
      <c r="G17" s="65">
        <v>0.65</v>
      </c>
      <c r="H17" s="65">
        <v>0.65</v>
      </c>
      <c r="I17" s="65">
        <v>0.65</v>
      </c>
      <c r="J17" s="12"/>
    </row>
    <row r="18" spans="1:10" ht="18" customHeight="1" x14ac:dyDescent="0.35">
      <c r="A18" s="29">
        <v>0.5</v>
      </c>
      <c r="B18" s="34">
        <v>4.0500000000000001E-2</v>
      </c>
      <c r="C18" s="27">
        <v>4.0500000000000001E-2</v>
      </c>
      <c r="D18" s="30">
        <v>4.0500000000000001E-2</v>
      </c>
      <c r="E18" s="11"/>
      <c r="F18" s="11"/>
      <c r="G18" s="65">
        <v>0.7</v>
      </c>
      <c r="H18" s="65">
        <v>0.7</v>
      </c>
      <c r="I18" s="65">
        <v>0.7</v>
      </c>
      <c r="J18" s="12"/>
    </row>
    <row r="19" spans="1:10" x14ac:dyDescent="0.3">
      <c r="G19" s="65">
        <v>0.75</v>
      </c>
      <c r="H19" s="65">
        <v>0.75</v>
      </c>
      <c r="I19" s="65">
        <v>0.75</v>
      </c>
    </row>
    <row r="20" spans="1:10" x14ac:dyDescent="0.3">
      <c r="G20" s="65">
        <v>0.8</v>
      </c>
      <c r="H20" s="65">
        <v>0.8</v>
      </c>
      <c r="I20" s="65">
        <v>0.8</v>
      </c>
    </row>
    <row r="21" spans="1:10" ht="16.8" x14ac:dyDescent="0.35">
      <c r="A21" s="11"/>
      <c r="B21" s="295" t="s">
        <v>80</v>
      </c>
      <c r="C21" s="296"/>
      <c r="G21" s="65">
        <v>0.85</v>
      </c>
      <c r="H21" s="65">
        <v>0.85</v>
      </c>
      <c r="I21" s="65">
        <v>0.85</v>
      </c>
    </row>
    <row r="22" spans="1:10" ht="17.399999999999999" thickBot="1" x14ac:dyDescent="0.4">
      <c r="A22" s="11"/>
      <c r="B22" s="13" t="s">
        <v>1</v>
      </c>
      <c r="C22" s="13" t="s">
        <v>2</v>
      </c>
      <c r="G22" s="65">
        <v>0.9</v>
      </c>
      <c r="H22" s="65">
        <v>0.9</v>
      </c>
      <c r="I22" s="65">
        <v>0.9</v>
      </c>
    </row>
    <row r="23" spans="1:10" ht="16.8" x14ac:dyDescent="0.35">
      <c r="A23" s="14">
        <v>0.75</v>
      </c>
      <c r="B23" s="36">
        <v>1.4156999999999999E-2</v>
      </c>
      <c r="C23" s="37">
        <v>1.4156999999999999E-2</v>
      </c>
      <c r="G23" s="65">
        <v>0.95</v>
      </c>
      <c r="H23" s="65">
        <v>0.95</v>
      </c>
      <c r="I23" s="65">
        <v>0.95</v>
      </c>
    </row>
    <row r="24" spans="1:10" ht="16.8" x14ac:dyDescent="0.35">
      <c r="A24" s="18">
        <v>0.7</v>
      </c>
      <c r="B24" s="38">
        <v>1.2519000000000001E-2</v>
      </c>
      <c r="C24" s="39">
        <v>1.2519000000000001E-2</v>
      </c>
      <c r="G24" s="65">
        <v>1</v>
      </c>
      <c r="H24" s="65">
        <v>1</v>
      </c>
      <c r="I24" s="65">
        <v>1</v>
      </c>
    </row>
    <row r="25" spans="1:10" ht="16.8" x14ac:dyDescent="0.35">
      <c r="A25" s="18">
        <v>0.65</v>
      </c>
      <c r="B25" s="40">
        <v>1.17E-2</v>
      </c>
      <c r="C25" s="39">
        <v>1.17E-2</v>
      </c>
    </row>
    <row r="26" spans="1:10" ht="16.8" x14ac:dyDescent="0.35">
      <c r="A26" s="18">
        <v>0.6</v>
      </c>
      <c r="B26" s="38">
        <v>1.0647E-2</v>
      </c>
      <c r="C26" s="39">
        <v>1.0647E-2</v>
      </c>
    </row>
    <row r="27" spans="1:10" ht="16.8" x14ac:dyDescent="0.35">
      <c r="A27" s="18">
        <v>0.55000000000000004</v>
      </c>
      <c r="B27" s="38">
        <v>1.0296E-2</v>
      </c>
      <c r="C27" s="39">
        <v>1.0296E-2</v>
      </c>
    </row>
    <row r="28" spans="1:10" ht="16.8" x14ac:dyDescent="0.35">
      <c r="A28" s="29">
        <v>0.5</v>
      </c>
      <c r="B28" s="41">
        <v>1.0062E-2</v>
      </c>
      <c r="C28" s="42">
        <v>1.0062E-2</v>
      </c>
    </row>
    <row r="31" spans="1:10" ht="16.8" x14ac:dyDescent="0.35">
      <c r="A31" s="11"/>
      <c r="B31" s="295" t="s">
        <v>82</v>
      </c>
      <c r="C31" s="296"/>
    </row>
    <row r="32" spans="1:10" ht="17.399999999999999" thickBot="1" x14ac:dyDescent="0.4">
      <c r="A32" s="11"/>
      <c r="B32" s="13" t="s">
        <v>1</v>
      </c>
      <c r="C32" s="13" t="s">
        <v>2</v>
      </c>
    </row>
    <row r="33" spans="1:3" ht="16.8" x14ac:dyDescent="0.35">
      <c r="A33" s="14">
        <v>0.75</v>
      </c>
      <c r="B33" s="31">
        <v>2.7E-2</v>
      </c>
      <c r="C33" s="17">
        <v>2.7E-2</v>
      </c>
    </row>
    <row r="34" spans="1:3" ht="16.8" x14ac:dyDescent="0.35">
      <c r="A34" s="18">
        <v>0.7</v>
      </c>
      <c r="B34" s="32">
        <v>2.7E-2</v>
      </c>
      <c r="C34" s="22">
        <v>2.7E-2</v>
      </c>
    </row>
    <row r="35" spans="1:3" ht="16.8" x14ac:dyDescent="0.35">
      <c r="A35" s="18">
        <v>0.65</v>
      </c>
      <c r="B35" s="33">
        <v>2.7E-2</v>
      </c>
      <c r="C35" s="21">
        <v>2.7E-2</v>
      </c>
    </row>
    <row r="36" spans="1:3" ht="16.8" x14ac:dyDescent="0.35">
      <c r="A36" s="18">
        <v>0.6</v>
      </c>
      <c r="B36" s="32">
        <v>2.7E-2</v>
      </c>
      <c r="C36" s="22">
        <v>2.7E-2</v>
      </c>
    </row>
    <row r="37" spans="1:3" ht="16.8" x14ac:dyDescent="0.35">
      <c r="A37" s="18">
        <v>0.55000000000000004</v>
      </c>
      <c r="B37" s="32">
        <v>2.7E-2</v>
      </c>
      <c r="C37" s="22">
        <v>2.7E-2</v>
      </c>
    </row>
    <row r="38" spans="1:3" ht="16.8" x14ac:dyDescent="0.35">
      <c r="A38" s="29">
        <v>0.5</v>
      </c>
      <c r="B38" s="35">
        <v>2.7E-2</v>
      </c>
      <c r="C38" s="28">
        <v>2.7E-2</v>
      </c>
    </row>
  </sheetData>
  <sheetProtection algorithmName="SHA-512" hashValue="ukwRTfJdwLK3k0tTc7VXI1X4Dcvgde1l8AW3l8734GzFo46GSP4O7UTiD1g06MnyMTK3yKfxArJYfhSxARVkyw==" saltValue="Kv/0jMmFeSV4dzbchh2Grg==" spinCount="100000" sheet="1" objects="1" scenarios="1"/>
  <mergeCells count="3">
    <mergeCell ref="B21:C21"/>
    <mergeCell ref="B11:D11"/>
    <mergeCell ref="B31:C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J15" sqref="J15"/>
    </sheetView>
  </sheetViews>
  <sheetFormatPr defaultRowHeight="14.4" x14ac:dyDescent="0.3"/>
  <cols>
    <col min="2" max="2" width="19" customWidth="1"/>
    <col min="3" max="3" width="20.44140625" customWidth="1"/>
    <col min="4" max="4" width="19.33203125" customWidth="1"/>
    <col min="8" max="8" width="18.6640625" customWidth="1"/>
    <col min="9" max="9" width="18.44140625" customWidth="1"/>
    <col min="10" max="10" width="18.109375" customWidth="1"/>
    <col min="11" max="11" width="18.6640625" customWidth="1"/>
  </cols>
  <sheetData>
    <row r="1" spans="1:11" ht="18" x14ac:dyDescent="0.35">
      <c r="A1" s="10" t="s">
        <v>32</v>
      </c>
      <c r="B1" s="11"/>
      <c r="C1" s="11"/>
      <c r="D1" s="11"/>
      <c r="E1" s="11"/>
      <c r="F1" s="11"/>
    </row>
    <row r="2" spans="1:11" ht="17.399999999999999" thickBot="1" x14ac:dyDescent="0.4">
      <c r="A2" s="11"/>
      <c r="B2" s="13" t="s">
        <v>0</v>
      </c>
      <c r="C2" s="13" t="s">
        <v>1</v>
      </c>
      <c r="D2" s="13" t="s">
        <v>2</v>
      </c>
      <c r="E2" s="11"/>
    </row>
    <row r="3" spans="1:11" ht="16.8" x14ac:dyDescent="0.35">
      <c r="A3" s="14">
        <v>0.75</v>
      </c>
      <c r="B3" s="117">
        <v>1.7595E-2</v>
      </c>
      <c r="C3" s="118">
        <v>1.7595E-2</v>
      </c>
      <c r="D3" s="119">
        <v>1.7595E-2</v>
      </c>
      <c r="E3" s="11"/>
      <c r="F3" s="11"/>
    </row>
    <row r="4" spans="1:11" ht="16.8" x14ac:dyDescent="0.35">
      <c r="A4" s="18">
        <v>0.7</v>
      </c>
      <c r="B4" s="23">
        <v>1.6524E-2</v>
      </c>
      <c r="C4" s="24">
        <v>1.6524E-2</v>
      </c>
      <c r="D4" s="22">
        <v>1.6524E-2</v>
      </c>
      <c r="E4" s="11"/>
      <c r="F4" s="11"/>
    </row>
    <row r="5" spans="1:11" ht="16.8" x14ac:dyDescent="0.35">
      <c r="A5" s="18">
        <v>0.65</v>
      </c>
      <c r="B5" s="19">
        <v>1.5299999999999999E-2</v>
      </c>
      <c r="C5" s="20">
        <v>1.5299999999999999E-2</v>
      </c>
      <c r="D5" s="22">
        <v>1.5299999999999999E-2</v>
      </c>
      <c r="E5" s="11"/>
      <c r="F5" s="11"/>
    </row>
    <row r="6" spans="1:11" ht="16.8" x14ac:dyDescent="0.35">
      <c r="A6" s="18">
        <v>0.6</v>
      </c>
      <c r="B6" s="23">
        <v>1.3923E-2</v>
      </c>
      <c r="C6" s="24">
        <v>1.3923E-2</v>
      </c>
      <c r="D6" s="22">
        <v>1.3923E-2</v>
      </c>
      <c r="E6" s="11"/>
      <c r="F6" s="11"/>
    </row>
    <row r="7" spans="1:11" ht="16.8" x14ac:dyDescent="0.35">
      <c r="A7" s="18">
        <v>0.55000000000000004</v>
      </c>
      <c r="B7" s="19">
        <v>1.2393E-2</v>
      </c>
      <c r="C7" s="20">
        <v>1.2393E-2</v>
      </c>
      <c r="D7" s="21">
        <v>1.2393E-2</v>
      </c>
      <c r="E7" s="11"/>
      <c r="F7" s="11"/>
    </row>
    <row r="8" spans="1:11" ht="16.8" x14ac:dyDescent="0.35">
      <c r="A8" s="18">
        <v>0.5</v>
      </c>
      <c r="B8" s="19">
        <v>1.1169E-2</v>
      </c>
      <c r="C8" s="20">
        <v>1.1169E-2</v>
      </c>
      <c r="D8" s="21">
        <v>1.1169E-2</v>
      </c>
      <c r="E8" s="11"/>
      <c r="F8" s="11"/>
    </row>
    <row r="9" spans="1:11" ht="16.8" x14ac:dyDescent="0.35">
      <c r="A9" s="25" t="s">
        <v>14</v>
      </c>
      <c r="B9" s="26">
        <v>5.6610000000000002E-3</v>
      </c>
      <c r="C9" s="120">
        <v>5.6610000000000002E-3</v>
      </c>
      <c r="D9" s="30">
        <v>5.6610000000000002E-3</v>
      </c>
      <c r="E9" s="11"/>
      <c r="F9" s="11"/>
      <c r="G9" s="11"/>
      <c r="H9" s="121"/>
      <c r="I9" s="11"/>
      <c r="J9" s="11"/>
      <c r="K9" s="11"/>
    </row>
    <row r="11" spans="1:11" ht="16.8" x14ac:dyDescent="0.35">
      <c r="A11" s="11"/>
      <c r="B11" s="295" t="s">
        <v>83</v>
      </c>
      <c r="C11" s="297"/>
      <c r="D11" s="296"/>
    </row>
    <row r="12" spans="1:11" ht="17.399999999999999" thickBot="1" x14ac:dyDescent="0.4">
      <c r="A12" s="11"/>
      <c r="B12" s="13" t="s">
        <v>0</v>
      </c>
      <c r="C12" s="13" t="s">
        <v>1</v>
      </c>
      <c r="D12" s="13" t="s">
        <v>2</v>
      </c>
    </row>
    <row r="13" spans="1:11" ht="16.8" x14ac:dyDescent="0.35">
      <c r="A13" s="14">
        <v>0.75</v>
      </c>
      <c r="B13" s="117">
        <v>3.3300000000000003E-2</v>
      </c>
      <c r="C13" s="122">
        <v>3.3300000000000003E-2</v>
      </c>
      <c r="D13" s="119">
        <v>3.3300000000000003E-2</v>
      </c>
    </row>
    <row r="14" spans="1:11" ht="16.8" x14ac:dyDescent="0.35">
      <c r="A14" s="18">
        <v>0.7</v>
      </c>
      <c r="B14" s="19">
        <v>3.3300000000000003E-2</v>
      </c>
      <c r="C14" s="20">
        <v>3.3300000000000003E-2</v>
      </c>
      <c r="D14" s="21">
        <v>3.3300000000000003E-2</v>
      </c>
    </row>
    <row r="15" spans="1:11" ht="16.8" x14ac:dyDescent="0.35">
      <c r="A15" s="18">
        <v>0.65</v>
      </c>
      <c r="B15" s="19">
        <v>3.3300000000000003E-2</v>
      </c>
      <c r="C15" s="20">
        <v>3.3300000000000003E-2</v>
      </c>
      <c r="D15" s="22">
        <v>3.3300000000000003E-2</v>
      </c>
    </row>
    <row r="16" spans="1:11" ht="16.8" x14ac:dyDescent="0.35">
      <c r="A16" s="18">
        <v>0.6</v>
      </c>
      <c r="B16" s="23">
        <v>3.3300000000000003E-2</v>
      </c>
      <c r="C16" s="24">
        <v>3.3300000000000003E-2</v>
      </c>
      <c r="D16" s="22">
        <v>3.3300000000000003E-2</v>
      </c>
    </row>
    <row r="17" spans="1:8" ht="16.8" x14ac:dyDescent="0.35">
      <c r="A17" s="18">
        <v>0.55000000000000004</v>
      </c>
      <c r="B17" s="23">
        <v>3.3300000000000003E-2</v>
      </c>
      <c r="C17" s="20">
        <v>3.3300000000000003E-2</v>
      </c>
      <c r="D17" s="22">
        <v>3.3300000000000003E-2</v>
      </c>
    </row>
    <row r="18" spans="1:8" ht="16.8" x14ac:dyDescent="0.35">
      <c r="A18" s="29">
        <v>0.5</v>
      </c>
      <c r="B18" s="26">
        <v>3.3300000000000003E-2</v>
      </c>
      <c r="C18" s="120">
        <v>3.3300000000000003E-2</v>
      </c>
      <c r="D18" s="28">
        <v>3.3300000000000003E-2</v>
      </c>
    </row>
    <row r="19" spans="1:8" x14ac:dyDescent="0.3">
      <c r="H19" s="187"/>
    </row>
  </sheetData>
  <sheetProtection algorithmName="SHA-512" hashValue="DLT5fEGh6MT26e6JOIGruRx7sKMrNC9P4qF/xdZDiMsx3K+lS0vsWuON1wHoOQmifNCKR0qO7hiOz9ubJEaT6Q==" saltValue="wyjIHtT1UaZ5BFP5bSWDwA==" spinCount="100000" sheet="1" objects="1" scenarios="1"/>
  <mergeCells count="1">
    <mergeCell ref="B11:D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H8" sqref="H8"/>
    </sheetView>
  </sheetViews>
  <sheetFormatPr defaultRowHeight="14.4" x14ac:dyDescent="0.3"/>
  <cols>
    <col min="2" max="2" width="19.44140625" customWidth="1"/>
    <col min="3" max="3" width="20" customWidth="1"/>
    <col min="4" max="4" width="20.109375" customWidth="1"/>
  </cols>
  <sheetData>
    <row r="1" spans="1:4" ht="18" x14ac:dyDescent="0.35">
      <c r="A1" s="10" t="s">
        <v>33</v>
      </c>
      <c r="B1" s="11"/>
      <c r="C1" s="11"/>
      <c r="D1" s="11"/>
    </row>
    <row r="2" spans="1:4" ht="17.399999999999999" thickBot="1" x14ac:dyDescent="0.4">
      <c r="A2" s="11"/>
      <c r="B2" s="13" t="s">
        <v>0</v>
      </c>
      <c r="C2" s="13" t="s">
        <v>1</v>
      </c>
      <c r="D2" s="13" t="s">
        <v>2</v>
      </c>
    </row>
    <row r="3" spans="1:4" ht="16.8" x14ac:dyDescent="0.35">
      <c r="A3" s="123">
        <v>0.75</v>
      </c>
      <c r="B3" s="117">
        <v>2.3805E-2</v>
      </c>
      <c r="C3" s="122">
        <v>2.3805E-2</v>
      </c>
      <c r="D3" s="124">
        <v>2.3805E-2</v>
      </c>
    </row>
    <row r="4" spans="1:4" ht="16.8" x14ac:dyDescent="0.35">
      <c r="A4" s="125">
        <v>0.7</v>
      </c>
      <c r="B4" s="19">
        <v>2.2356000000000001E-2</v>
      </c>
      <c r="C4" s="20">
        <v>2.2356000000000001E-2</v>
      </c>
      <c r="D4" s="22">
        <v>2.2356000000000001E-2</v>
      </c>
    </row>
    <row r="5" spans="1:4" ht="16.8" x14ac:dyDescent="0.35">
      <c r="A5" s="125">
        <v>0.65</v>
      </c>
      <c r="B5" s="23">
        <v>2.07E-2</v>
      </c>
      <c r="C5" s="24">
        <v>2.07E-2</v>
      </c>
      <c r="D5" s="22">
        <v>2.07E-2</v>
      </c>
    </row>
    <row r="6" spans="1:4" ht="16.8" x14ac:dyDescent="0.35">
      <c r="A6" s="125">
        <v>0.6</v>
      </c>
      <c r="B6" s="19">
        <v>1.8837E-2</v>
      </c>
      <c r="C6" s="20">
        <v>1.8837E-2</v>
      </c>
      <c r="D6" s="21">
        <v>1.8837E-2</v>
      </c>
    </row>
    <row r="7" spans="1:4" ht="16.8" x14ac:dyDescent="0.35">
      <c r="A7" s="125">
        <v>0.55000000000000004</v>
      </c>
      <c r="B7" s="19">
        <v>1.6767000000000001E-2</v>
      </c>
      <c r="C7" s="24">
        <v>1.6767000000000001E-2</v>
      </c>
      <c r="D7" s="21">
        <v>1.6767000000000001E-2</v>
      </c>
    </row>
    <row r="8" spans="1:4" ht="16.8" x14ac:dyDescent="0.35">
      <c r="A8" s="125">
        <v>0.5</v>
      </c>
      <c r="B8" s="19">
        <v>1.5110999999999999E-2</v>
      </c>
      <c r="C8" s="24">
        <v>1.5110999999999999E-2</v>
      </c>
      <c r="D8" s="22">
        <v>1.5110999999999999E-2</v>
      </c>
    </row>
    <row r="9" spans="1:4" ht="16.8" x14ac:dyDescent="0.35">
      <c r="A9" s="126" t="s">
        <v>14</v>
      </c>
      <c r="B9" s="26">
        <v>7.659E-3</v>
      </c>
      <c r="C9" s="27">
        <v>7.659E-3</v>
      </c>
      <c r="D9" s="30">
        <v>7.659E-3</v>
      </c>
    </row>
    <row r="10" spans="1:4" ht="16.8" x14ac:dyDescent="0.35">
      <c r="A10" s="11"/>
      <c r="B10" s="11"/>
      <c r="C10" s="11"/>
      <c r="D10" s="11"/>
    </row>
    <row r="11" spans="1:4" ht="16.8" x14ac:dyDescent="0.35">
      <c r="A11" s="11"/>
      <c r="B11" s="295" t="s">
        <v>84</v>
      </c>
      <c r="C11" s="297"/>
      <c r="D11" s="296"/>
    </row>
    <row r="12" spans="1:4" ht="17.399999999999999" thickBot="1" x14ac:dyDescent="0.4">
      <c r="A12" s="11"/>
      <c r="B12" s="13" t="s">
        <v>0</v>
      </c>
      <c r="C12" s="13" t="s">
        <v>1</v>
      </c>
      <c r="D12" s="13" t="s">
        <v>2</v>
      </c>
    </row>
    <row r="13" spans="1:4" ht="16.8" x14ac:dyDescent="0.35">
      <c r="A13" s="123">
        <v>0.75</v>
      </c>
      <c r="B13" s="127">
        <v>4.3200000000000002E-2</v>
      </c>
      <c r="C13" s="122">
        <v>4.3200000000000002E-2</v>
      </c>
      <c r="D13" s="124">
        <v>4.3200000000000002E-2</v>
      </c>
    </row>
    <row r="14" spans="1:4" ht="16.8" x14ac:dyDescent="0.35">
      <c r="A14" s="125">
        <v>0.7</v>
      </c>
      <c r="B14" s="23">
        <v>4.3200000000000002E-2</v>
      </c>
      <c r="C14" s="24">
        <v>4.3200000000000002E-2</v>
      </c>
      <c r="D14" s="22">
        <v>4.3200000000000002E-2</v>
      </c>
    </row>
    <row r="15" spans="1:4" ht="16.8" x14ac:dyDescent="0.35">
      <c r="A15" s="125">
        <v>0.65</v>
      </c>
      <c r="B15" s="23">
        <v>4.3200000000000002E-2</v>
      </c>
      <c r="C15" s="24">
        <v>4.3200000000000002E-2</v>
      </c>
      <c r="D15" s="21">
        <v>4.3200000000000002E-2</v>
      </c>
    </row>
    <row r="16" spans="1:4" ht="16.8" x14ac:dyDescent="0.35">
      <c r="A16" s="125">
        <v>0.6</v>
      </c>
      <c r="B16" s="23">
        <v>4.3200000000000002E-2</v>
      </c>
      <c r="C16" s="20">
        <v>4.3200000000000002E-2</v>
      </c>
      <c r="D16" s="21">
        <v>4.3200000000000002E-2</v>
      </c>
    </row>
    <row r="17" spans="1:4" ht="16.8" x14ac:dyDescent="0.35">
      <c r="A17" s="125">
        <v>0.55000000000000004</v>
      </c>
      <c r="B17" s="23">
        <v>4.3200000000000002E-2</v>
      </c>
      <c r="C17" s="24">
        <v>4.3200000000000002E-2</v>
      </c>
      <c r="D17" s="22">
        <v>4.3200000000000002E-2</v>
      </c>
    </row>
    <row r="18" spans="1:4" ht="16.8" x14ac:dyDescent="0.35">
      <c r="A18" s="128">
        <v>0.5</v>
      </c>
      <c r="B18" s="34">
        <v>4.3200000000000002E-2</v>
      </c>
      <c r="C18" s="120">
        <v>4.3200000000000002E-2</v>
      </c>
      <c r="D18" s="30">
        <v>4.3200000000000002E-2</v>
      </c>
    </row>
  </sheetData>
  <sheetProtection algorithmName="SHA-512" hashValue="0f+yuoyikCIqKmXIEuBzLUbUppKP3MHb/xqS55TVVND2NolVdWHJLDXjJkz+q9whMbrdS2uDIk2M50CfpMkbwg==" saltValue="uRAWkR2mi8llVCuL63g8fg==" spinCount="100000" sheet="1" objects="1" scenarios="1"/>
  <mergeCells count="1">
    <mergeCell ref="B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H13" sqref="H13"/>
    </sheetView>
  </sheetViews>
  <sheetFormatPr defaultRowHeight="14.4" x14ac:dyDescent="0.3"/>
  <cols>
    <col min="2" max="2" width="18" customWidth="1"/>
    <col min="3" max="3" width="20.33203125" customWidth="1"/>
    <col min="4" max="4" width="20.5546875" customWidth="1"/>
  </cols>
  <sheetData>
    <row r="1" spans="1:4" ht="18" x14ac:dyDescent="0.35">
      <c r="A1" s="10" t="s">
        <v>34</v>
      </c>
    </row>
    <row r="2" spans="1:4" ht="17.399999999999999" thickBot="1" x14ac:dyDescent="0.4">
      <c r="A2" s="11"/>
      <c r="B2" s="13" t="s">
        <v>0</v>
      </c>
      <c r="C2" s="13" t="s">
        <v>1</v>
      </c>
      <c r="D2" s="13" t="s">
        <v>2</v>
      </c>
    </row>
    <row r="3" spans="1:4" ht="16.8" x14ac:dyDescent="0.35">
      <c r="A3" s="14">
        <v>0.75</v>
      </c>
      <c r="B3" s="117">
        <v>1.3481999999999999E-2</v>
      </c>
      <c r="C3" s="118">
        <v>1.3481999999999999E-2</v>
      </c>
      <c r="D3" s="119">
        <v>1.3481999999999999E-2</v>
      </c>
    </row>
    <row r="4" spans="1:4" ht="16.8" x14ac:dyDescent="0.35">
      <c r="A4" s="18">
        <v>0.7</v>
      </c>
      <c r="B4" s="19">
        <v>1.26E-2</v>
      </c>
      <c r="C4" s="24">
        <v>1.26E-2</v>
      </c>
      <c r="D4" s="22">
        <v>1.26E-2</v>
      </c>
    </row>
    <row r="5" spans="1:4" ht="16.8" x14ac:dyDescent="0.35">
      <c r="A5" s="18">
        <v>0.65</v>
      </c>
      <c r="B5" s="23">
        <v>1.26E-2</v>
      </c>
      <c r="C5" s="24">
        <v>1.26E-2</v>
      </c>
      <c r="D5" s="22">
        <v>1.26E-2</v>
      </c>
    </row>
    <row r="6" spans="1:4" ht="16.8" x14ac:dyDescent="0.35">
      <c r="A6" s="18">
        <v>0.6</v>
      </c>
      <c r="B6" s="23">
        <v>1.1717999999999999E-2</v>
      </c>
      <c r="C6" s="20">
        <v>1.1717999999999999E-2</v>
      </c>
      <c r="D6" s="21">
        <v>1.1717999999999999E-2</v>
      </c>
    </row>
    <row r="7" spans="1:4" ht="16.8" x14ac:dyDescent="0.35">
      <c r="A7" s="18">
        <v>0.55000000000000004</v>
      </c>
      <c r="B7" s="23">
        <v>1.1717999999999999E-2</v>
      </c>
      <c r="C7" s="20">
        <v>1.1717999999999999E-2</v>
      </c>
      <c r="D7" s="22">
        <v>1.1717999999999999E-2</v>
      </c>
    </row>
    <row r="8" spans="1:4" ht="16.8" x14ac:dyDescent="0.35">
      <c r="A8" s="18">
        <v>0.5</v>
      </c>
      <c r="B8" s="23">
        <v>1.1717999999999999E-2</v>
      </c>
      <c r="C8" s="24">
        <v>1.1717999999999999E-2</v>
      </c>
      <c r="D8" s="22">
        <v>1.1717999999999999E-2</v>
      </c>
    </row>
    <row r="9" spans="1:4" ht="16.8" x14ac:dyDescent="0.35">
      <c r="A9" s="25" t="s">
        <v>14</v>
      </c>
      <c r="B9" s="34">
        <v>1.1717999999999999E-2</v>
      </c>
      <c r="C9" s="27">
        <v>1.1717999999999999E-2</v>
      </c>
      <c r="D9" s="28">
        <v>1.1717999999999999E-2</v>
      </c>
    </row>
    <row r="10" spans="1:4" ht="16.8" x14ac:dyDescent="0.35">
      <c r="A10" s="11"/>
      <c r="B10" s="11"/>
      <c r="C10" s="11"/>
      <c r="D10" s="11"/>
    </row>
    <row r="11" spans="1:4" ht="16.8" x14ac:dyDescent="0.35">
      <c r="A11" s="11"/>
      <c r="B11" s="295" t="s">
        <v>35</v>
      </c>
      <c r="C11" s="297"/>
      <c r="D11" s="296"/>
    </row>
    <row r="12" spans="1:4" ht="17.399999999999999" thickBot="1" x14ac:dyDescent="0.4">
      <c r="A12" s="11"/>
      <c r="B12" s="13" t="s">
        <v>0</v>
      </c>
      <c r="C12" s="13" t="s">
        <v>1</v>
      </c>
      <c r="D12" s="13" t="s">
        <v>2</v>
      </c>
    </row>
    <row r="13" spans="1:4" ht="16.8" x14ac:dyDescent="0.35">
      <c r="A13" s="14">
        <v>0.75</v>
      </c>
      <c r="B13" s="127">
        <v>2.4299999999999999E-2</v>
      </c>
      <c r="C13" s="122">
        <v>2.4299999999999999E-2</v>
      </c>
      <c r="D13" s="119">
        <v>2.4299999999999999E-2</v>
      </c>
    </row>
    <row r="14" spans="1:4" ht="16.8" x14ac:dyDescent="0.35">
      <c r="A14" s="18">
        <v>0.7</v>
      </c>
      <c r="B14" s="23">
        <v>2.4299999999999999E-2</v>
      </c>
      <c r="C14" s="24">
        <v>2.4299999999999999E-2</v>
      </c>
      <c r="D14" s="22">
        <v>2.4299999999999999E-2</v>
      </c>
    </row>
    <row r="15" spans="1:4" ht="16.8" x14ac:dyDescent="0.35">
      <c r="A15" s="18">
        <v>0.65</v>
      </c>
      <c r="B15" s="23">
        <v>2.4299999999999999E-2</v>
      </c>
      <c r="C15" s="20">
        <v>2.4299999999999999E-2</v>
      </c>
      <c r="D15" s="22">
        <v>2.4299999999999999E-2</v>
      </c>
    </row>
    <row r="16" spans="1:4" ht="16.8" x14ac:dyDescent="0.35">
      <c r="A16" s="18">
        <v>0.6</v>
      </c>
      <c r="B16" s="23">
        <v>2.4299999999999999E-2</v>
      </c>
      <c r="C16" s="24">
        <v>2.4299999999999999E-2</v>
      </c>
      <c r="D16" s="21">
        <v>2.4299999999999999E-2</v>
      </c>
    </row>
    <row r="17" spans="1:4" ht="16.8" x14ac:dyDescent="0.35">
      <c r="A17" s="18">
        <v>0.55000000000000004</v>
      </c>
      <c r="B17" s="19">
        <v>2.4299999999999999E-2</v>
      </c>
      <c r="C17" s="20">
        <v>2.4299999999999999E-2</v>
      </c>
      <c r="D17" s="21">
        <v>2.4299999999999999E-2</v>
      </c>
    </row>
    <row r="18" spans="1:4" ht="16.8" x14ac:dyDescent="0.35">
      <c r="A18" s="29">
        <v>0.5</v>
      </c>
      <c r="B18" s="26">
        <v>2.4299999999999999E-2</v>
      </c>
      <c r="C18" s="120">
        <v>2.4299999999999999E-2</v>
      </c>
      <c r="D18" s="28">
        <v>2.4299999999999999E-2</v>
      </c>
    </row>
  </sheetData>
  <sheetProtection algorithmName="SHA-512" hashValue="y4Kevc8nV79N8cVSuFH2YQjb5SN9aZtm0fbNl8bBhu7SArdA1E76xInH8hsdcwZm78iiYVbTByATg/bDkekOSw==" saltValue="sPL6OosxKyVB49iXC9VWGQ==" spinCount="100000" sheet="1" objects="1" scenarios="1"/>
  <mergeCells count="1">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Avocado </vt:lpstr>
      <vt:lpstr>Carambola </vt:lpstr>
      <vt:lpstr>Mango </vt:lpstr>
      <vt:lpstr>Limes </vt:lpstr>
      <vt:lpstr>Avoc rates</vt:lpstr>
      <vt:lpstr> Caram rates</vt:lpstr>
      <vt:lpstr>Mango rates </vt:lpstr>
      <vt:lpstr>Limes rates</vt:lpstr>
      <vt:lpstr>Sheet1</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2016-11-30T14:22:23Z</dcterms:created>
  <dcterms:modified xsi:type="dcterms:W3CDTF">2019-06-20T17:48:07Z</dcterms:modified>
</cp:coreProperties>
</file>