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CROP INSURANCE MANUALS\"/>
    </mc:Choice>
  </mc:AlternateContent>
  <workbookProtection workbookAlgorithmName="SHA-512" workbookHashValue="99GOl3ZWeoQz2MjmaacFpnIeuGBWMf5aN1s7sOr92pzkfJbIQwMKzZ74FH5INCVhOtwD6iP9eW7iCR7ir71PnA==" workbookSaltValue="0mzi7NXqnQfU2iVhH5VpdQ==" workbookSpinCount="100000" lockStructure="1"/>
  <bookViews>
    <workbookView xWindow="0" yWindow="0" windowWidth="25200" windowHeight="11250"/>
  </bookViews>
  <sheets>
    <sheet name="Disclaimer" sheetId="10" r:id="rId1"/>
    <sheet name="URF " sheetId="6" r:id="rId2"/>
    <sheet name=" ORF" sheetId="7" r:id="rId3"/>
    <sheet name="URF2" sheetId="9" r:id="rId4"/>
    <sheet name="URF Loss Peak EO" sheetId="8" r:id="rId5"/>
    <sheet name="Premiums" sheetId="2" r:id="rId6"/>
  </sheets>
  <externalReferences>
    <externalReference r:id="rId7"/>
    <externalReference r:id="rId8"/>
    <externalReference r:id="rId9"/>
  </externalReferences>
  <definedNames>
    <definedName name="Amount_of_Insurance">Premiums!$D$11:$D$16</definedName>
    <definedName name="CLEVEL">'[1]Avocado 200'!$G$5:$L$5</definedName>
    <definedName name="Cov_level">Premiums!$D$11:$D$16</definedName>
    <definedName name="Coverage_level" localSheetId="2">' ORF'!#REF!</definedName>
    <definedName name="Coverage_level" localSheetId="1">'URF '!#REF!</definedName>
    <definedName name="Coverage_level" localSheetId="4">'URF Loss Peak EO'!#REF!</definedName>
    <definedName name="Coverage_level" localSheetId="3">'URF2'!#REF!</definedName>
    <definedName name="Coverage_level">#REF!</definedName>
    <definedName name="Deductible">Premiums!$C$11:$C$16</definedName>
    <definedName name="Macros" localSheetId="0">#REF!</definedName>
    <definedName name="Macros">#REF!</definedName>
    <definedName name="P.E.">'[1]Avocado 200'!$D$6:$D$10</definedName>
    <definedName name="Peak_IVR_Loss_URF" localSheetId="3">'URF2'!$K$4:$K$5</definedName>
    <definedName name="Peak_IVR_Loss_URF">'URF '!$L$4:$L$5</definedName>
    <definedName name="screen" localSheetId="0">#REF!</definedName>
    <definedName name="screen">#REF!</definedName>
    <definedName name="screenA" localSheetId="0">#REF!</definedName>
    <definedName name="screenA">#REF!</definedName>
    <definedName name="Security" localSheetId="0">'[3]Security Settings'!#REF!</definedName>
    <definedName name="Security">'[3]Security Settings'!#REF!</definedName>
    <definedName name="state" localSheetId="0">#REF!</definedName>
    <definedName name="state">#REF!</definedName>
    <definedName name="Your_share" localSheetId="3">'URF2'!#REF!</definedName>
    <definedName name="Your_share">'URF '!#REF!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 i="8" l="1"/>
  <c r="E10" i="8"/>
  <c r="E19" i="8"/>
  <c r="E5" i="8"/>
  <c r="E20" i="8" s="1"/>
  <c r="E17" i="8" l="1"/>
  <c r="E22" i="8" s="1"/>
  <c r="H21" i="6"/>
  <c r="H21" i="7"/>
  <c r="D14" i="9" l="1"/>
  <c r="D16" i="9" s="1"/>
  <c r="G3" i="9" s="1"/>
  <c r="D11" i="9"/>
  <c r="D10" i="9"/>
  <c r="G10" i="9" s="1"/>
  <c r="G4" i="9"/>
  <c r="E9" i="8" s="1"/>
  <c r="G17" i="9" l="1"/>
  <c r="G9" i="9"/>
  <c r="G11" i="9" s="1"/>
  <c r="D12" i="9"/>
  <c r="G21" i="9"/>
  <c r="G5" i="9"/>
  <c r="E8" i="8" s="1"/>
  <c r="E24" i="8" s="1"/>
  <c r="G13" i="9" l="1"/>
  <c r="G15" i="9" s="1"/>
  <c r="E15" i="7"/>
  <c r="E13" i="7"/>
  <c r="E4" i="8" l="1"/>
  <c r="E26" i="8" s="1"/>
  <c r="E7" i="8" l="1"/>
  <c r="G16" i="9"/>
  <c r="G18" i="9"/>
  <c r="G20" i="9" s="1"/>
  <c r="E10" i="6"/>
  <c r="E18" i="8" l="1"/>
  <c r="H11" i="8"/>
  <c r="H29" i="8" s="1"/>
  <c r="E14" i="6"/>
  <c r="E16" i="6" s="1"/>
  <c r="H3" i="6" s="1"/>
  <c r="H4" i="7"/>
  <c r="E17" i="7"/>
  <c r="H25" i="8" l="1"/>
  <c r="H17" i="7"/>
  <c r="H12" i="7"/>
  <c r="H4" i="6" l="1"/>
  <c r="H17" i="6" l="1"/>
  <c r="E12" i="7"/>
  <c r="E11" i="6"/>
  <c r="H8" i="7" l="1"/>
  <c r="E14" i="7"/>
  <c r="H10" i="6"/>
  <c r="H9" i="6"/>
  <c r="H9" i="7"/>
  <c r="E12" i="6"/>
  <c r="H10" i="7" l="1"/>
  <c r="H13" i="7" s="1"/>
  <c r="H11" i="6"/>
  <c r="H5" i="6"/>
  <c r="H13" i="6" l="1"/>
  <c r="H15" i="6" s="1"/>
  <c r="H15" i="7"/>
  <c r="H16" i="7" s="1"/>
  <c r="H18" i="7" l="1"/>
  <c r="H20" i="7" s="1"/>
  <c r="H16" i="6"/>
  <c r="H18" i="6" l="1"/>
  <c r="H20" i="6" s="1"/>
  <c r="E21" i="8" l="1"/>
  <c r="H6" i="8"/>
  <c r="H7" i="8" s="1"/>
  <c r="H12" i="8" s="1"/>
  <c r="H17" i="8"/>
  <c r="H16" i="8" l="1"/>
  <c r="H18" i="8" s="1"/>
  <c r="H20" i="8" s="1"/>
  <c r="H23" i="8" s="1"/>
  <c r="H26" i="8" l="1"/>
  <c r="H30" i="8" s="1"/>
  <c r="H28" i="8"/>
  <c r="H24" i="8"/>
</calcChain>
</file>

<file path=xl/sharedStrings.xml><?xml version="1.0" encoding="utf-8"?>
<sst xmlns="http://schemas.openxmlformats.org/spreadsheetml/2006/main" count="185" uniqueCount="103">
  <si>
    <t>PIVR</t>
  </si>
  <si>
    <t>Coverage level</t>
  </si>
  <si>
    <t>Amount of Insurance</t>
  </si>
  <si>
    <t>Crop year deductible</t>
  </si>
  <si>
    <t>Coverage</t>
  </si>
  <si>
    <t>Liability</t>
  </si>
  <si>
    <t>Premium</t>
  </si>
  <si>
    <t>Level</t>
  </si>
  <si>
    <t>Field market value A</t>
  </si>
  <si>
    <t>Field market value B</t>
  </si>
  <si>
    <t>FMV A- FMV B</t>
  </si>
  <si>
    <t>Ocurrence deductible</t>
  </si>
  <si>
    <t>Deductible</t>
  </si>
  <si>
    <t>FMV DIFF*URF</t>
  </si>
  <si>
    <t>Indemnity</t>
  </si>
  <si>
    <t>Your share %</t>
  </si>
  <si>
    <t xml:space="preserve">the lesser of </t>
  </si>
  <si>
    <t>(PIVR+Peak IVR-PAL)/FMV A</t>
  </si>
  <si>
    <t>FMV A* deductible %*URF</t>
  </si>
  <si>
    <t>Ocurrence deductible=</t>
  </si>
  <si>
    <t>Under report factor=</t>
  </si>
  <si>
    <t>Adj. loss by (1-ORF)</t>
  </si>
  <si>
    <t>Adj. loss-OD</t>
  </si>
  <si>
    <t>Your share of the crop %</t>
  </si>
  <si>
    <t>Adj. loss -OD</t>
  </si>
  <si>
    <t>No previous losses</t>
  </si>
  <si>
    <t>Previous Indemnity</t>
  </si>
  <si>
    <t>New amount of insurance</t>
  </si>
  <si>
    <t>New crop year deductible</t>
  </si>
  <si>
    <t>FMV A*  occ. deductible %*URF</t>
  </si>
  <si>
    <t>Total</t>
  </si>
  <si>
    <t>Producer</t>
  </si>
  <si>
    <t>Subsidy</t>
  </si>
  <si>
    <t>Amount</t>
  </si>
  <si>
    <t>CAT</t>
  </si>
  <si>
    <t>Under-report situation</t>
  </si>
  <si>
    <t>URF=</t>
  </si>
  <si>
    <t>Under report factor is</t>
  </si>
  <si>
    <t>the lesser of:</t>
  </si>
  <si>
    <t>Ocurrence deductible is</t>
  </si>
  <si>
    <t>Over- report situation</t>
  </si>
  <si>
    <t>FMVA * deductible % * (1+ORF)</t>
  </si>
  <si>
    <t>Ocurrence deductible:</t>
  </si>
  <si>
    <t>Amount of Insurance:</t>
  </si>
  <si>
    <t>Crop year deductible:</t>
  </si>
  <si>
    <t>PIVR:</t>
  </si>
  <si>
    <t>Field market value A:</t>
  </si>
  <si>
    <t>Field market value B:</t>
  </si>
  <si>
    <t>Verified sales records:</t>
  </si>
  <si>
    <t>Coverage level:</t>
  </si>
  <si>
    <t>Deductible:</t>
  </si>
  <si>
    <t xml:space="preserve">Over report factor: </t>
  </si>
  <si>
    <t>FMV A- FMV B:</t>
  </si>
  <si>
    <t>the lesser of :</t>
  </si>
  <si>
    <t>One</t>
  </si>
  <si>
    <t>Basic unit</t>
  </si>
  <si>
    <t>Assumptions:</t>
  </si>
  <si>
    <t>NO Peak Endorsement</t>
  </si>
  <si>
    <t>Under report situation</t>
  </si>
  <si>
    <t>Peak EO insured</t>
  </si>
  <si>
    <t>Under-report situation: Indemnity Estimator Nursery Insurance</t>
  </si>
  <si>
    <t>Adj. loss -Occ. deductible</t>
  </si>
  <si>
    <t>Over-report situation: Indemnity Estimator Nursery Insurance</t>
  </si>
  <si>
    <t>Peak EO value</t>
  </si>
  <si>
    <t xml:space="preserve">URF is the lesser of: </t>
  </si>
  <si>
    <t>Peak Inventory with Previous Loss: Indemnity Estimator Nursery Insurance</t>
  </si>
  <si>
    <t>Foliage (068)</t>
  </si>
  <si>
    <t>Container 008</t>
  </si>
  <si>
    <t>Net Indemnity</t>
  </si>
  <si>
    <t>Producer Premium</t>
  </si>
  <si>
    <t>Losses with insurance</t>
  </si>
  <si>
    <t>Losses without insurance</t>
  </si>
  <si>
    <t>Loss with Insurance</t>
  </si>
  <si>
    <t>Loss without Insurance</t>
  </si>
  <si>
    <t>Loss with insurance</t>
  </si>
  <si>
    <t>Loss without insurance</t>
  </si>
  <si>
    <t>Peak Endorsement Premium</t>
  </si>
  <si>
    <t>Projected Revenue</t>
  </si>
  <si>
    <t>With Insurance</t>
  </si>
  <si>
    <t>Without Insurance</t>
  </si>
  <si>
    <t>Previous Adj. loss</t>
  </si>
  <si>
    <t>Producer's premium</t>
  </si>
  <si>
    <t>Cummulative loss</t>
  </si>
  <si>
    <t>With insurance</t>
  </si>
  <si>
    <t>Without insurance</t>
  </si>
  <si>
    <t>URF</t>
  </si>
  <si>
    <t>Under report factor is               the lesser of:</t>
  </si>
  <si>
    <t>Peak Endorsement Inventory</t>
  </si>
  <si>
    <t>Unit:</t>
  </si>
  <si>
    <t>Losses:</t>
  </si>
  <si>
    <t>Endorsements:</t>
  </si>
  <si>
    <t>NO Peak Inventory</t>
  </si>
  <si>
    <t>Type:</t>
  </si>
  <si>
    <t>Practice</t>
  </si>
  <si>
    <t>Assumptions</t>
  </si>
  <si>
    <t>Practice:</t>
  </si>
  <si>
    <t>Previous loss</t>
  </si>
  <si>
    <t>Peak Endorsement</t>
  </si>
  <si>
    <t>2017 Crop Insurance Decision Tool</t>
  </si>
  <si>
    <t>Support Provided by:</t>
  </si>
  <si>
    <r>
      <rPr>
        <b/>
        <sz val="14"/>
        <color theme="1"/>
        <rFont val="Times New Roman"/>
        <family val="1"/>
      </rPr>
      <t xml:space="preserve">CONDITIONS OF USE:      </t>
    </r>
    <r>
      <rPr>
        <sz val="14"/>
        <color theme="1"/>
        <rFont val="Times New Roman"/>
        <family val="1"/>
      </rPr>
      <t xml:space="preserve">                                                                                                                       This software is provided 'as is' and without warranties as to performance or merchantability. Statements may have been made to you about this software. Any such statements do not constitute warranties and shall not be relied on by the CUSTOMER in deciding whether to use the program.  This program is provided without any expressed or implied warranties whatsoever. Because of the diversity of conditions and hardware under which this program may be used, no WARRANTY OF MERCHANTABILITY or WARRANTY OF FITNESS for a particular purpose is offered. The user is advised to test the program thoroughly before relying on it. The user assumes the entire risk of using the program.  The UNIVERSITY OF FLORIDA will not be liable for any claim or damage brought against the USER by any third party, nor will the UNIVERSITY OF FLORIDA be liable for any consequential, indirect, or special damages suffered by the USER as a result of the use of the software.                                                                                                                                                                                         </t>
    </r>
  </si>
  <si>
    <r>
      <t xml:space="preserve">This spreadsheet calculates premiums, and  insured values under several user selected coverage  and Price Election levels. The tool also helps growers to simulate/estimate an approximated indemnity value based on their own estimated value of losses.                                                                                                                                                                                                                                  </t>
    </r>
    <r>
      <rPr>
        <b/>
        <sz val="14"/>
        <color theme="1"/>
        <rFont val="Times New Roman"/>
        <family val="1"/>
      </rPr>
      <t xml:space="preserve">The final crop insurance indemnity payment will depend on the specific policy and exclusions, and the crop insurance adjuster's assesment of losses.                                                                                                                  </t>
    </r>
    <r>
      <rPr>
        <b/>
        <i/>
        <sz val="14"/>
        <color theme="8" tint="-0.499984740745262"/>
        <rFont val="Times New Roman"/>
        <family val="1"/>
      </rPr>
      <t xml:space="preserve">This version is for Florida Ornamentals Only  </t>
    </r>
  </si>
  <si>
    <t>Previous loss (See UFR2)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</si>
</sst>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44" formatCode="_(&quot;$&quot;* #,##0.00_);_(&quot;$&quot;* \(#,##0.00\);_(&quot;$&quot;* &quot;-&quot;??_);_(@_)"/>
    <numFmt numFmtId="43" formatCode="_(* #,##0.00_);_(* \(#,##0.00\);_(* &quot;-&quot;??_);_(@_)"/>
    <numFmt numFmtId="164" formatCode="0.000"/>
    <numFmt numFmtId="165" formatCode="_(* #,##0_);_(* \(#,##0\);_(* &quot;-&quot;??_);_(@_)"/>
    <numFmt numFmtId="166" formatCode="_(&quot;$&quot;* #,##0_);_(&quot;$&quot;* \(#,##0\);_(&quot;$&quot;*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u/>
      <sz val="11"/>
      <color theme="1"/>
      <name val="Calibri"/>
      <family val="2"/>
      <scheme val="minor"/>
    </font>
    <font>
      <u val="singleAccounting"/>
      <sz val="11"/>
      <color theme="1"/>
      <name val="Calibri"/>
      <family val="2"/>
      <scheme val="minor"/>
    </font>
    <font>
      <sz val="11"/>
      <color rgb="FFFF0000"/>
      <name val="Calibri"/>
      <family val="2"/>
      <scheme val="minor"/>
    </font>
    <font>
      <sz val="11"/>
      <color theme="1"/>
      <name val="Times New Roman"/>
      <family val="1"/>
    </font>
    <font>
      <b/>
      <sz val="10"/>
      <color theme="1"/>
      <name val="Times New Roman"/>
      <family val="1"/>
    </font>
    <font>
      <b/>
      <sz val="11"/>
      <color theme="1"/>
      <name val="Times New Roman"/>
      <family val="1"/>
    </font>
    <font>
      <sz val="10"/>
      <color theme="1"/>
      <name val="Times New Roman"/>
      <family val="1"/>
    </font>
    <font>
      <b/>
      <sz val="16"/>
      <color rgb="FF002060"/>
      <name val="Times New Roman"/>
      <family val="1"/>
    </font>
    <font>
      <sz val="14"/>
      <color theme="1"/>
      <name val="Times New Roman"/>
      <family val="1"/>
    </font>
    <font>
      <b/>
      <sz val="14"/>
      <color theme="1"/>
      <name val="Times New Roman"/>
      <family val="1"/>
    </font>
    <font>
      <b/>
      <i/>
      <sz val="14"/>
      <color theme="8" tint="-0.499984740745262"/>
      <name val="Times New Roman"/>
      <family val="1"/>
    </font>
    <font>
      <b/>
      <sz val="16"/>
      <color theme="1"/>
      <name val="Times New Roman"/>
      <family val="1"/>
    </font>
  </fonts>
  <fills count="5">
    <fill>
      <patternFill patternType="none"/>
    </fill>
    <fill>
      <patternFill patternType="gray125"/>
    </fill>
    <fill>
      <patternFill patternType="solid">
        <fgColor theme="9" tint="0.39997558519241921"/>
        <bgColor indexed="64"/>
      </patternFill>
    </fill>
    <fill>
      <patternFill patternType="solid">
        <fgColor theme="7" tint="0.39997558519241921"/>
        <bgColor indexed="64"/>
      </patternFill>
    </fill>
    <fill>
      <patternFill patternType="solid">
        <fgColor rgb="FFFFFF00"/>
        <bgColor indexed="64"/>
      </patternFill>
    </fill>
  </fills>
  <borders count="33">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right/>
      <top/>
      <bottom style="thick">
        <color theme="4" tint="-0.499984740745262"/>
      </bottom>
      <diagonal/>
    </border>
    <border>
      <left style="thick">
        <color theme="4" tint="-0.499984740745262"/>
      </left>
      <right/>
      <top style="thick">
        <color theme="4" tint="-0.499984740745262"/>
      </top>
      <bottom/>
      <diagonal/>
    </border>
    <border>
      <left/>
      <right/>
      <top style="thick">
        <color theme="4" tint="-0.499984740745262"/>
      </top>
      <bottom/>
      <diagonal/>
    </border>
    <border>
      <left/>
      <right style="thick">
        <color theme="4" tint="-0.499984740745262"/>
      </right>
      <top style="thick">
        <color theme="4" tint="-0.499984740745262"/>
      </top>
      <bottom/>
      <diagonal/>
    </border>
    <border>
      <left style="thick">
        <color theme="4" tint="-0.499984740745262"/>
      </left>
      <right/>
      <top/>
      <bottom/>
      <diagonal/>
    </border>
    <border>
      <left/>
      <right style="thick">
        <color theme="4" tint="-0.499984740745262"/>
      </right>
      <top/>
      <bottom/>
      <diagonal/>
    </border>
    <border>
      <left style="thick">
        <color theme="4" tint="-0.499984740745262"/>
      </left>
      <right/>
      <top/>
      <bottom style="thick">
        <color theme="4" tint="-0.499984740745262"/>
      </bottom>
      <diagonal/>
    </border>
    <border>
      <left/>
      <right style="thick">
        <color theme="4" tint="-0.499984740745262"/>
      </right>
      <top/>
      <bottom style="thick">
        <color theme="4" tint="-0.499984740745262"/>
      </bottom>
      <diagonal/>
    </border>
    <border>
      <left/>
      <right/>
      <top style="thick">
        <color theme="1"/>
      </top>
      <bottom/>
      <diagonal/>
    </border>
    <border>
      <left style="thick">
        <color theme="1"/>
      </left>
      <right/>
      <top style="thick">
        <color theme="1"/>
      </top>
      <bottom/>
      <diagonal/>
    </border>
    <border>
      <left/>
      <right style="thick">
        <color theme="1"/>
      </right>
      <top style="thick">
        <color theme="1"/>
      </top>
      <bottom/>
      <diagonal/>
    </border>
    <border>
      <left style="thick">
        <color theme="1"/>
      </left>
      <right/>
      <top/>
      <bottom/>
      <diagonal/>
    </border>
    <border>
      <left/>
      <right style="thick">
        <color theme="1"/>
      </right>
      <top/>
      <bottom/>
      <diagonal/>
    </border>
    <border>
      <left style="thick">
        <color theme="1"/>
      </left>
      <right/>
      <top/>
      <bottom style="thick">
        <color theme="1"/>
      </bottom>
      <diagonal/>
    </border>
    <border>
      <left/>
      <right/>
      <top/>
      <bottom style="thick">
        <color theme="1"/>
      </bottom>
      <diagonal/>
    </border>
    <border>
      <left/>
      <right style="thick">
        <color theme="1"/>
      </right>
      <top/>
      <bottom style="thick">
        <color theme="1"/>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3" fillId="0" borderId="0"/>
  </cellStyleXfs>
  <cellXfs count="155">
    <xf numFmtId="0" fontId="0" fillId="0" borderId="0" xfId="0"/>
    <xf numFmtId="9" fontId="0" fillId="0" borderId="0" xfId="1" applyFont="1" applyAlignment="1">
      <alignment horizontal="center"/>
    </xf>
    <xf numFmtId="9" fontId="0" fillId="0" borderId="0" xfId="1" applyFont="1"/>
    <xf numFmtId="0" fontId="0" fillId="0" borderId="0" xfId="0" applyAlignment="1">
      <alignment horizontal="right"/>
    </xf>
    <xf numFmtId="0" fontId="0" fillId="0" borderId="0" xfId="0" applyNumberFormat="1"/>
    <xf numFmtId="0" fontId="0" fillId="0" borderId="0" xfId="0" applyFill="1"/>
    <xf numFmtId="0" fontId="0" fillId="0" borderId="0" xfId="0" applyFill="1" applyAlignment="1">
      <alignment horizontal="right"/>
    </xf>
    <xf numFmtId="165" fontId="0" fillId="0" borderId="0" xfId="2" applyNumberFormat="1" applyFont="1"/>
    <xf numFmtId="1" fontId="0" fillId="0" borderId="0" xfId="2" applyNumberFormat="1" applyFont="1"/>
    <xf numFmtId="0" fontId="0" fillId="0" borderId="0" xfId="0" applyAlignment="1">
      <alignment horizontal="center"/>
    </xf>
    <xf numFmtId="0" fontId="0" fillId="0" borderId="4" xfId="0" applyBorder="1"/>
    <xf numFmtId="0" fontId="0" fillId="0" borderId="0" xfId="0" applyBorder="1"/>
    <xf numFmtId="0" fontId="0" fillId="3" borderId="0" xfId="0" applyFill="1" applyBorder="1" applyAlignment="1">
      <alignment horizontal="right"/>
    </xf>
    <xf numFmtId="166" fontId="0" fillId="3" borderId="0" xfId="3" applyNumberFormat="1" applyFont="1" applyFill="1" applyBorder="1"/>
    <xf numFmtId="0" fontId="0" fillId="0" borderId="0" xfId="0" applyFont="1" applyBorder="1"/>
    <xf numFmtId="0" fontId="2" fillId="3" borderId="0" xfId="0" applyFont="1" applyFill="1" applyBorder="1" applyAlignment="1">
      <alignment horizontal="right"/>
    </xf>
    <xf numFmtId="2" fontId="0" fillId="3" borderId="7" xfId="0" applyNumberFormat="1" applyFill="1" applyBorder="1"/>
    <xf numFmtId="0" fontId="0" fillId="0" borderId="7" xfId="0" applyBorder="1"/>
    <xf numFmtId="2" fontId="0" fillId="0" borderId="7" xfId="0" applyNumberFormat="1" applyBorder="1"/>
    <xf numFmtId="164" fontId="0" fillId="3" borderId="7" xfId="0" applyNumberFormat="1" applyFill="1" applyBorder="1"/>
    <xf numFmtId="2" fontId="4" fillId="3" borderId="7" xfId="0" applyNumberFormat="1" applyFont="1" applyFill="1" applyBorder="1"/>
    <xf numFmtId="166" fontId="0" fillId="3" borderId="7" xfId="3" applyNumberFormat="1" applyFont="1" applyFill="1" applyBorder="1"/>
    <xf numFmtId="166" fontId="5" fillId="3" borderId="7" xfId="3" applyNumberFormat="1" applyFont="1" applyFill="1" applyBorder="1"/>
    <xf numFmtId="0" fontId="0" fillId="0" borderId="7" xfId="0" applyFill="1" applyBorder="1"/>
    <xf numFmtId="0" fontId="2" fillId="0" borderId="0" xfId="0" applyFont="1" applyBorder="1"/>
    <xf numFmtId="166" fontId="2" fillId="3" borderId="7" xfId="3" applyNumberFormat="1" applyFont="1" applyFill="1" applyBorder="1"/>
    <xf numFmtId="0" fontId="2" fillId="0" borderId="0" xfId="0" applyFont="1" applyFill="1" applyBorder="1"/>
    <xf numFmtId="166" fontId="2" fillId="3" borderId="7" xfId="0" applyNumberFormat="1" applyFont="1" applyFill="1" applyBorder="1"/>
    <xf numFmtId="166" fontId="2" fillId="3" borderId="8" xfId="0" applyNumberFormat="1" applyFont="1" applyFill="1" applyBorder="1"/>
    <xf numFmtId="0" fontId="6" fillId="0" borderId="0" xfId="0" applyFont="1"/>
    <xf numFmtId="0" fontId="2" fillId="0" borderId="2" xfId="0" applyFont="1" applyBorder="1"/>
    <xf numFmtId="0" fontId="7" fillId="0" borderId="0" xfId="0" applyFont="1"/>
    <xf numFmtId="0" fontId="9" fillId="0" borderId="0" xfId="0" applyFont="1"/>
    <xf numFmtId="0" fontId="10" fillId="0" borderId="4" xfId="0" applyFont="1" applyBorder="1"/>
    <xf numFmtId="166" fontId="10" fillId="2" borderId="0" xfId="3" applyNumberFormat="1" applyFont="1" applyFill="1" applyBorder="1"/>
    <xf numFmtId="0" fontId="10" fillId="0" borderId="0" xfId="0" applyFont="1" applyBorder="1"/>
    <xf numFmtId="2" fontId="10" fillId="3" borderId="7" xfId="0" applyNumberFormat="1" applyFont="1" applyFill="1" applyBorder="1"/>
    <xf numFmtId="0" fontId="10" fillId="2" borderId="0" xfId="0" applyFont="1" applyFill="1" applyBorder="1"/>
    <xf numFmtId="166" fontId="10" fillId="3" borderId="7" xfId="3" applyNumberFormat="1" applyFont="1" applyFill="1" applyBorder="1"/>
    <xf numFmtId="0" fontId="10" fillId="0" borderId="7" xfId="0" applyFont="1" applyBorder="1"/>
    <xf numFmtId="0" fontId="10" fillId="3" borderId="0" xfId="0" applyFont="1" applyFill="1" applyBorder="1" applyAlignment="1">
      <alignment horizontal="right"/>
    </xf>
    <xf numFmtId="166" fontId="10" fillId="3" borderId="0" xfId="3" applyNumberFormat="1" applyFont="1" applyFill="1" applyBorder="1"/>
    <xf numFmtId="0" fontId="8" fillId="3" borderId="0" xfId="0" applyFont="1" applyFill="1" applyBorder="1" applyAlignment="1">
      <alignment horizontal="right"/>
    </xf>
    <xf numFmtId="0" fontId="10" fillId="0" borderId="4" xfId="0" applyFont="1" applyFill="1" applyBorder="1"/>
    <xf numFmtId="2" fontId="10" fillId="3" borderId="0" xfId="0" applyNumberFormat="1" applyFont="1" applyFill="1" applyBorder="1"/>
    <xf numFmtId="0" fontId="8" fillId="0" borderId="0" xfId="0" applyFont="1" applyBorder="1"/>
    <xf numFmtId="166" fontId="8" fillId="3" borderId="7" xfId="3" applyNumberFormat="1" applyFont="1" applyFill="1" applyBorder="1"/>
    <xf numFmtId="164" fontId="10" fillId="3" borderId="0" xfId="0" applyNumberFormat="1" applyFont="1" applyFill="1" applyBorder="1"/>
    <xf numFmtId="0" fontId="8" fillId="0" borderId="0" xfId="0" applyFont="1" applyFill="1" applyBorder="1"/>
    <xf numFmtId="9" fontId="10" fillId="2" borderId="0" xfId="1" applyFont="1" applyFill="1" applyBorder="1"/>
    <xf numFmtId="0" fontId="10" fillId="0" borderId="0" xfId="0" applyFont="1"/>
    <xf numFmtId="166" fontId="8" fillId="3" borderId="7" xfId="0" applyNumberFormat="1" applyFont="1" applyFill="1" applyBorder="1"/>
    <xf numFmtId="0" fontId="8" fillId="0" borderId="1" xfId="0" applyFont="1" applyBorder="1"/>
    <xf numFmtId="166" fontId="8" fillId="3" borderId="6" xfId="0" applyNumberFormat="1" applyFont="1" applyFill="1" applyBorder="1"/>
    <xf numFmtId="0" fontId="8" fillId="0" borderId="2" xfId="0" applyFont="1" applyBorder="1"/>
    <xf numFmtId="166" fontId="8" fillId="3" borderId="8" xfId="0" applyNumberFormat="1" applyFont="1" applyFill="1" applyBorder="1"/>
    <xf numFmtId="2" fontId="0" fillId="3" borderId="0" xfId="0" applyNumberFormat="1" applyFill="1" applyBorder="1"/>
    <xf numFmtId="0" fontId="2" fillId="0" borderId="1" xfId="0" applyFont="1" applyFill="1" applyBorder="1"/>
    <xf numFmtId="166" fontId="2" fillId="3" borderId="6" xfId="0" applyNumberFormat="1" applyFont="1" applyFill="1" applyBorder="1"/>
    <xf numFmtId="0" fontId="2" fillId="0" borderId="1" xfId="0" applyFont="1" applyBorder="1"/>
    <xf numFmtId="166" fontId="2" fillId="0" borderId="0" xfId="3" applyNumberFormat="1" applyFont="1" applyBorder="1"/>
    <xf numFmtId="0" fontId="10" fillId="0" borderId="4" xfId="0" applyFont="1" applyFill="1" applyBorder="1" applyAlignment="1">
      <alignment horizontal="left" wrapText="1"/>
    </xf>
    <xf numFmtId="166" fontId="8" fillId="2" borderId="0" xfId="3" applyNumberFormat="1" applyFont="1" applyFill="1" applyBorder="1"/>
    <xf numFmtId="0" fontId="8" fillId="0" borderId="4" xfId="0" applyFont="1" applyBorder="1"/>
    <xf numFmtId="0" fontId="2" fillId="0" borderId="0" xfId="0" applyFont="1"/>
    <xf numFmtId="6" fontId="0" fillId="0" borderId="0" xfId="0" applyNumberFormat="1"/>
    <xf numFmtId="0" fontId="0" fillId="0" borderId="4" xfId="0" applyFill="1" applyBorder="1"/>
    <xf numFmtId="166" fontId="0" fillId="0" borderId="0" xfId="3" applyNumberFormat="1" applyFont="1" applyFill="1" applyBorder="1"/>
    <xf numFmtId="0" fontId="8" fillId="0" borderId="3" xfId="0" applyFont="1" applyBorder="1" applyAlignment="1">
      <alignment horizontal="center"/>
    </xf>
    <xf numFmtId="0" fontId="8" fillId="0" borderId="1" xfId="0" applyFont="1" applyBorder="1" applyAlignment="1">
      <alignment horizontal="center"/>
    </xf>
    <xf numFmtId="0" fontId="8" fillId="0" borderId="6" xfId="0" applyFont="1" applyBorder="1" applyAlignment="1">
      <alignment horizontal="center"/>
    </xf>
    <xf numFmtId="0" fontId="2" fillId="0" borderId="0" xfId="0" applyFont="1" applyAlignment="1">
      <alignment horizontal="center"/>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xf numFmtId="0" fontId="10" fillId="0" borderId="4" xfId="0" applyFont="1" applyFill="1" applyBorder="1" applyAlignment="1">
      <alignment horizontal="left" wrapText="1"/>
    </xf>
    <xf numFmtId="0" fontId="9" fillId="0" borderId="0" xfId="0" applyFont="1" applyAlignment="1">
      <alignment horizontal="center"/>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0" fillId="0" borderId="1" xfId="0" applyBorder="1" applyAlignment="1">
      <alignment horizontal="center"/>
    </xf>
    <xf numFmtId="0" fontId="0" fillId="0" borderId="2" xfId="0" applyBorder="1" applyAlignment="1">
      <alignment horizontal="center"/>
    </xf>
    <xf numFmtId="0" fontId="0" fillId="0" borderId="0" xfId="0" applyAlignment="1">
      <alignment horizont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0"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0" fillId="0" borderId="17" xfId="0" applyBorder="1"/>
    <xf numFmtId="0" fontId="12" fillId="0" borderId="18" xfId="0" applyFont="1" applyBorder="1" applyAlignment="1">
      <alignment horizontal="center" vertical="top" wrapText="1"/>
    </xf>
    <xf numFmtId="0" fontId="12" fillId="0" borderId="19" xfId="0" applyFont="1" applyBorder="1" applyAlignment="1">
      <alignment horizontal="center" vertical="top" wrapText="1"/>
    </xf>
    <xf numFmtId="0" fontId="12" fillId="0" borderId="20" xfId="0" applyFont="1" applyBorder="1" applyAlignment="1">
      <alignment horizontal="center" vertical="top" wrapText="1"/>
    </xf>
    <xf numFmtId="0" fontId="0" fillId="0" borderId="0" xfId="0" applyAlignment="1">
      <alignment wrapText="1"/>
    </xf>
    <xf numFmtId="0" fontId="12" fillId="0" borderId="21" xfId="0" applyFont="1" applyBorder="1" applyAlignment="1">
      <alignment horizontal="center" vertical="top" wrapText="1"/>
    </xf>
    <xf numFmtId="0" fontId="12" fillId="0" borderId="0" xfId="0" applyFont="1" applyBorder="1" applyAlignment="1">
      <alignment horizontal="center" vertical="top" wrapText="1"/>
    </xf>
    <xf numFmtId="0" fontId="12" fillId="0" borderId="22" xfId="0" applyFont="1" applyBorder="1" applyAlignment="1">
      <alignment horizontal="center" vertical="top" wrapText="1"/>
    </xf>
    <xf numFmtId="0" fontId="11" fillId="0" borderId="0" xfId="0" applyFont="1" applyAlignment="1">
      <alignment horizontal="center" vertical="center"/>
    </xf>
    <xf numFmtId="0" fontId="12" fillId="0" borderId="23" xfId="0" applyFont="1" applyBorder="1" applyAlignment="1">
      <alignment horizontal="center" vertical="top" wrapText="1"/>
    </xf>
    <xf numFmtId="0" fontId="12" fillId="0" borderId="17" xfId="0" applyFont="1" applyBorder="1" applyAlignment="1">
      <alignment horizontal="center" vertical="top" wrapText="1"/>
    </xf>
    <xf numFmtId="0" fontId="12" fillId="0" borderId="24" xfId="0" applyFont="1" applyBorder="1" applyAlignment="1">
      <alignment horizontal="center" vertical="top" wrapText="1"/>
    </xf>
    <xf numFmtId="0" fontId="0" fillId="0" borderId="25" xfId="0" applyBorder="1"/>
    <xf numFmtId="0" fontId="15" fillId="0" borderId="26" xfId="0" applyFont="1" applyBorder="1" applyAlignment="1">
      <alignment horizontal="center" vertical="top"/>
    </xf>
    <xf numFmtId="0" fontId="0" fillId="0" borderId="25" xfId="0" applyBorder="1" applyAlignment="1">
      <alignment horizontal="center" vertical="top"/>
    </xf>
    <xf numFmtId="0" fontId="0" fillId="0" borderId="27" xfId="0" applyBorder="1" applyAlignment="1">
      <alignment horizontal="center" vertical="top"/>
    </xf>
    <xf numFmtId="0" fontId="0" fillId="0" borderId="28" xfId="0" applyBorder="1" applyAlignment="1">
      <alignment horizontal="center" vertical="top"/>
    </xf>
    <xf numFmtId="0" fontId="0" fillId="0" borderId="0" xfId="0" applyBorder="1" applyAlignment="1">
      <alignment horizontal="center" vertical="top"/>
    </xf>
    <xf numFmtId="0" fontId="0" fillId="0" borderId="29" xfId="0" applyBorder="1" applyAlignment="1">
      <alignment horizontal="center" vertical="top"/>
    </xf>
    <xf numFmtId="0" fontId="0" fillId="0" borderId="30" xfId="0" applyBorder="1" applyAlignment="1">
      <alignment horizontal="center" vertical="top"/>
    </xf>
    <xf numFmtId="0" fontId="0" fillId="0" borderId="31" xfId="0" applyBorder="1" applyAlignment="1">
      <alignment horizontal="center" vertical="top"/>
    </xf>
    <xf numFmtId="0" fontId="0" fillId="0" borderId="32" xfId="0" applyBorder="1" applyAlignment="1">
      <alignment horizontal="center" vertical="top"/>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0" fillId="0" borderId="0" xfId="0" applyFill="1" applyBorder="1"/>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7" fillId="0" borderId="0" xfId="0" applyFont="1" applyFill="1"/>
    <xf numFmtId="166" fontId="10" fillId="0" borderId="0" xfId="3" applyNumberFormat="1" applyFont="1" applyFill="1" applyBorder="1"/>
    <xf numFmtId="0" fontId="10" fillId="0" borderId="0" xfId="0" applyFont="1" applyFill="1" applyBorder="1"/>
    <xf numFmtId="166" fontId="8" fillId="0" borderId="0" xfId="3" applyNumberFormat="1" applyFont="1" applyFill="1" applyBorder="1"/>
    <xf numFmtId="9" fontId="10" fillId="0" borderId="0" xfId="1" applyFont="1" applyFill="1" applyBorder="1"/>
    <xf numFmtId="0" fontId="7" fillId="0" borderId="7" xfId="0" applyFont="1" applyFill="1" applyBorder="1"/>
    <xf numFmtId="0" fontId="0" fillId="0" borderId="0" xfId="0" applyProtection="1">
      <protection locked="0"/>
    </xf>
    <xf numFmtId="166" fontId="10" fillId="2" borderId="0" xfId="3" applyNumberFormat="1" applyFont="1" applyFill="1" applyBorder="1" applyProtection="1">
      <protection locked="0"/>
    </xf>
    <xf numFmtId="0" fontId="10" fillId="2" borderId="0" xfId="0" applyFont="1" applyFill="1" applyBorder="1" applyProtection="1">
      <protection locked="0"/>
    </xf>
    <xf numFmtId="166" fontId="8" fillId="2" borderId="0" xfId="3" applyNumberFormat="1" applyFont="1" applyFill="1" applyBorder="1" applyProtection="1">
      <protection locked="0"/>
    </xf>
    <xf numFmtId="9" fontId="10" fillId="2" borderId="0" xfId="1" applyFont="1" applyFill="1" applyBorder="1" applyProtection="1">
      <protection locked="0"/>
    </xf>
    <xf numFmtId="9" fontId="10" fillId="0" borderId="0" xfId="1" applyNumberFormat="1" applyFont="1" applyFill="1" applyBorder="1"/>
    <xf numFmtId="9" fontId="10" fillId="2" borderId="0" xfId="1" applyNumberFormat="1" applyFont="1" applyFill="1" applyBorder="1" applyProtection="1">
      <protection locked="0"/>
    </xf>
    <xf numFmtId="166" fontId="10" fillId="0" borderId="7" xfId="3" applyNumberFormat="1" applyFont="1" applyFill="1" applyBorder="1"/>
    <xf numFmtId="166" fontId="1" fillId="4" borderId="0" xfId="3" applyNumberFormat="1" applyFont="1" applyFill="1" applyBorder="1"/>
    <xf numFmtId="0" fontId="0" fillId="4" borderId="0" xfId="0" applyFont="1" applyFill="1" applyBorder="1"/>
    <xf numFmtId="9" fontId="1" fillId="4" borderId="0" xfId="1" applyFont="1" applyFill="1" applyBorder="1"/>
    <xf numFmtId="166" fontId="2" fillId="2" borderId="0" xfId="3" applyNumberFormat="1" applyFont="1" applyFill="1" applyBorder="1" applyProtection="1">
      <protection locked="0"/>
    </xf>
  </cellXfs>
  <cellStyles count="5">
    <cellStyle name="Comma" xfId="2" builtinId="3"/>
    <cellStyle name="Currency" xfId="3" builtinId="4"/>
    <cellStyle name="Normal" xfId="0" builtinId="0"/>
    <cellStyle name="Normal 2" xfId="4"/>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47625</xdr:colOff>
      <xdr:row>18</xdr:row>
      <xdr:rowOff>9526</xdr:rowOff>
    </xdr:from>
    <xdr:to>
      <xdr:col>10</xdr:col>
      <xdr:colOff>200250</xdr:colOff>
      <xdr:row>23</xdr:row>
      <xdr:rowOff>157056</xdr:rowOff>
    </xdr:to>
    <xdr:pic>
      <xdr:nvPicPr>
        <xdr:cNvPr id="2" name="Picture 1"/>
        <xdr:cNvPicPr>
          <a:picLocks noChangeAspect="1"/>
        </xdr:cNvPicPr>
      </xdr:nvPicPr>
      <xdr:blipFill>
        <a:blip xmlns:r="http://schemas.openxmlformats.org/officeDocument/2006/relationships" r:embed="rId1"/>
        <a:stretch>
          <a:fillRect/>
        </a:stretch>
      </xdr:blipFill>
      <xdr:spPr>
        <a:xfrm>
          <a:off x="3705225" y="3552826"/>
          <a:ext cx="2591025" cy="1100030"/>
        </a:xfrm>
        <a:prstGeom prst="rect">
          <a:avLst/>
        </a:prstGeom>
      </xdr:spPr>
    </xdr:pic>
    <xdr:clientData/>
  </xdr:twoCellAnchor>
  <xdr:twoCellAnchor editAs="oneCell">
    <xdr:from>
      <xdr:col>10</xdr:col>
      <xdr:colOff>352425</xdr:colOff>
      <xdr:row>17</xdr:row>
      <xdr:rowOff>180974</xdr:rowOff>
    </xdr:from>
    <xdr:to>
      <xdr:col>14</xdr:col>
      <xdr:colOff>533849</xdr:colOff>
      <xdr:row>23</xdr:row>
      <xdr:rowOff>195207</xdr:rowOff>
    </xdr:to>
    <xdr:pic>
      <xdr:nvPicPr>
        <xdr:cNvPr id="3" name="Picture 2"/>
        <xdr:cNvPicPr>
          <a:picLocks noChangeAspect="1"/>
        </xdr:cNvPicPr>
      </xdr:nvPicPr>
      <xdr:blipFill>
        <a:blip xmlns:r="http://schemas.openxmlformats.org/officeDocument/2006/relationships" r:embed="rId2"/>
        <a:stretch>
          <a:fillRect/>
        </a:stretch>
      </xdr:blipFill>
      <xdr:spPr>
        <a:xfrm>
          <a:off x="6448425" y="3533774"/>
          <a:ext cx="2619824" cy="1157233"/>
        </a:xfrm>
        <a:prstGeom prst="rect">
          <a:avLst/>
        </a:prstGeom>
      </xdr:spPr>
    </xdr:pic>
    <xdr:clientData/>
  </xdr:twoCellAnchor>
  <xdr:twoCellAnchor editAs="oneCell">
    <xdr:from>
      <xdr:col>1</xdr:col>
      <xdr:colOff>0</xdr:colOff>
      <xdr:row>1</xdr:row>
      <xdr:rowOff>76200</xdr:rowOff>
    </xdr:from>
    <xdr:to>
      <xdr:col>4</xdr:col>
      <xdr:colOff>597618</xdr:colOff>
      <xdr:row>5</xdr:row>
      <xdr:rowOff>152400</xdr:rowOff>
    </xdr:to>
    <xdr:pic>
      <xdr:nvPicPr>
        <xdr:cNvPr id="4" name="Picture 3"/>
        <xdr:cNvPicPr>
          <a:picLocks noChangeAspect="1"/>
        </xdr:cNvPicPr>
      </xdr:nvPicPr>
      <xdr:blipFill>
        <a:blip xmlns:r="http://schemas.openxmlformats.org/officeDocument/2006/relationships" r:embed="rId3"/>
        <a:stretch>
          <a:fillRect/>
        </a:stretch>
      </xdr:blipFill>
      <xdr:spPr>
        <a:xfrm>
          <a:off x="609600" y="266700"/>
          <a:ext cx="2426418" cy="8477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redy.ballen\Desktop\APH%20AVOC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isclaimer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AST%20Resources\Spreadsheets\cropInsuranceDecisionTool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ocado 300"/>
      <sheetName val="Avocado 250"/>
      <sheetName val="Avocado 200"/>
      <sheetName val="Avocado 200a "/>
      <sheetName val="Avocado 170"/>
      <sheetName val="Sheet2"/>
      <sheetName val="Avocado FFT Basic"/>
      <sheetName val="Valencia FFT Basic "/>
      <sheetName val="Avocado FFT Opt"/>
      <sheetName val="Grapefruit  FFT "/>
      <sheetName val="Carambola  FFT"/>
      <sheetName val="Sheet1"/>
      <sheetName val="Sheet3"/>
      <sheetName val="Tomatoes"/>
    </sheetNames>
    <sheetDataSet>
      <sheetData sheetId="0"/>
      <sheetData sheetId="1"/>
      <sheetData sheetId="2">
        <row r="5">
          <cell r="G5">
            <v>0.75</v>
          </cell>
          <cell r="H5">
            <v>0.7</v>
          </cell>
          <cell r="I5">
            <v>0.65</v>
          </cell>
          <cell r="J5">
            <v>0.6</v>
          </cell>
          <cell r="K5">
            <v>0.55000000000000004</v>
          </cell>
          <cell r="L5">
            <v>0.5</v>
          </cell>
        </row>
        <row r="6">
          <cell r="D6">
            <v>100</v>
          </cell>
        </row>
        <row r="7">
          <cell r="D7">
            <v>95</v>
          </cell>
        </row>
        <row r="8">
          <cell r="D8">
            <v>90</v>
          </cell>
        </row>
        <row r="9">
          <cell r="D9">
            <v>85</v>
          </cell>
        </row>
        <row r="10">
          <cell r="D10">
            <v>80</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OCADO (2)"/>
      <sheetName val="AVOCADO"/>
      <sheetName val="OTHERS"/>
      <sheetName val="Sheet3"/>
      <sheetName val="Sheet1"/>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urity Settings"/>
      <sheetName val="Information"/>
      <sheetName val="premiums"/>
      <sheetName val="parameters"/>
      <sheetName val="ta ye sheet"/>
      <sheetName val="sobPeriod"/>
      <sheetName val="sobYear"/>
      <sheetName val="help_prem"/>
      <sheetName val="parametersdl"/>
      <sheetName val="yields"/>
      <sheetName val="help_yields"/>
      <sheetName val="what-if"/>
      <sheetName val="revEst"/>
      <sheetName val="hisPay"/>
      <sheetName val="cropInsuranceDecisionTool2017"/>
    </sheetNames>
    <sheetDataSet>
      <sheetData sheetId="0"/>
      <sheetData sheetId="1"/>
      <sheetData sheetId="2">
        <row r="18">
          <cell r="E18">
            <v>2.9500000476837158</v>
          </cell>
        </row>
      </sheetData>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sheetPr>
  <dimension ref="B2:AC41"/>
  <sheetViews>
    <sheetView showGridLines="0" showRowColHeaders="0" showZeros="0" tabSelected="1" showOutlineSymbols="0" defaultGridColor="0" colorId="9" zoomScale="80" zoomScaleNormal="80" workbookViewId="0">
      <selection activeCell="W12" sqref="W12:AC14"/>
    </sheetView>
  </sheetViews>
  <sheetFormatPr defaultRowHeight="15" x14ac:dyDescent="0.25"/>
  <sheetData>
    <row r="2" spans="2:29" x14ac:dyDescent="0.25">
      <c r="B2" s="95"/>
      <c r="C2" s="95"/>
      <c r="D2" s="95"/>
      <c r="E2" s="95"/>
    </row>
    <row r="3" spans="2:29" ht="15.75" thickBot="1" x14ac:dyDescent="0.3">
      <c r="B3" s="95"/>
      <c r="C3" s="95"/>
      <c r="D3" s="95"/>
      <c r="E3" s="95"/>
    </row>
    <row r="4" spans="2:29" ht="15" customHeight="1" x14ac:dyDescent="0.25">
      <c r="B4" s="95"/>
      <c r="C4" s="95"/>
      <c r="D4" s="95"/>
      <c r="E4" s="95"/>
      <c r="H4" s="96" t="s">
        <v>98</v>
      </c>
      <c r="I4" s="97"/>
      <c r="J4" s="97"/>
      <c r="K4" s="97"/>
      <c r="L4" s="97"/>
      <c r="M4" s="97"/>
      <c r="N4" s="98"/>
      <c r="O4" s="11"/>
    </row>
    <row r="5" spans="2:29" ht="15" customHeight="1" x14ac:dyDescent="0.25">
      <c r="B5" s="95"/>
      <c r="C5" s="95"/>
      <c r="D5" s="95"/>
      <c r="E5" s="95"/>
      <c r="H5" s="99"/>
      <c r="I5" s="100"/>
      <c r="J5" s="100"/>
      <c r="K5" s="100"/>
      <c r="L5" s="100"/>
      <c r="M5" s="100"/>
      <c r="N5" s="101"/>
      <c r="O5" s="11"/>
    </row>
    <row r="6" spans="2:29" ht="15" customHeight="1" thickBot="1" x14ac:dyDescent="0.3">
      <c r="B6" s="95"/>
      <c r="C6" s="95"/>
      <c r="D6" s="95"/>
      <c r="E6" s="95"/>
      <c r="H6" s="102"/>
      <c r="I6" s="103"/>
      <c r="J6" s="103"/>
      <c r="K6" s="103"/>
      <c r="L6" s="103"/>
      <c r="M6" s="103"/>
      <c r="N6" s="104"/>
      <c r="O6" s="11"/>
    </row>
    <row r="7" spans="2:29" ht="15.75" thickBot="1" x14ac:dyDescent="0.3">
      <c r="H7" s="105"/>
      <c r="I7" s="11"/>
      <c r="J7" s="11"/>
      <c r="K7" s="105"/>
      <c r="L7" s="11"/>
      <c r="M7" s="11"/>
      <c r="N7" s="11"/>
    </row>
    <row r="8" spans="2:29" ht="15" customHeight="1" thickTop="1" x14ac:dyDescent="0.25">
      <c r="F8" s="106" t="s">
        <v>101</v>
      </c>
      <c r="G8" s="107"/>
      <c r="H8" s="107"/>
      <c r="I8" s="107"/>
      <c r="J8" s="107"/>
      <c r="K8" s="107"/>
      <c r="L8" s="107"/>
      <c r="M8" s="107"/>
      <c r="N8" s="107"/>
      <c r="O8" s="107"/>
      <c r="P8" s="108"/>
      <c r="Q8" s="109"/>
    </row>
    <row r="9" spans="2:29" ht="15" customHeight="1" x14ac:dyDescent="0.25">
      <c r="F9" s="110"/>
      <c r="G9" s="111"/>
      <c r="H9" s="111"/>
      <c r="I9" s="111"/>
      <c r="J9" s="111"/>
      <c r="K9" s="111"/>
      <c r="L9" s="111"/>
      <c r="M9" s="111"/>
      <c r="N9" s="111"/>
      <c r="O9" s="111"/>
      <c r="P9" s="112"/>
    </row>
    <row r="10" spans="2:29" ht="15" customHeight="1" x14ac:dyDescent="0.25">
      <c r="F10" s="110"/>
      <c r="G10" s="111"/>
      <c r="H10" s="111"/>
      <c r="I10" s="111"/>
      <c r="J10" s="111"/>
      <c r="K10" s="111"/>
      <c r="L10" s="111"/>
      <c r="M10" s="111"/>
      <c r="N10" s="111"/>
      <c r="O10" s="111"/>
      <c r="P10" s="112"/>
    </row>
    <row r="11" spans="2:29" ht="15" customHeight="1" x14ac:dyDescent="0.25">
      <c r="F11" s="110"/>
      <c r="G11" s="111"/>
      <c r="H11" s="111"/>
      <c r="I11" s="111"/>
      <c r="J11" s="111"/>
      <c r="K11" s="111"/>
      <c r="L11" s="111"/>
      <c r="M11" s="111"/>
      <c r="N11" s="111"/>
      <c r="O11" s="111"/>
      <c r="P11" s="112"/>
    </row>
    <row r="12" spans="2:29" ht="15" customHeight="1" x14ac:dyDescent="0.25">
      <c r="F12" s="110"/>
      <c r="G12" s="111"/>
      <c r="H12" s="111"/>
      <c r="I12" s="111"/>
      <c r="J12" s="111"/>
      <c r="K12" s="111"/>
      <c r="L12" s="111"/>
      <c r="M12" s="111"/>
      <c r="N12" s="111"/>
      <c r="O12" s="111"/>
      <c r="P12" s="112"/>
      <c r="W12" s="113"/>
      <c r="X12" s="113"/>
      <c r="Y12" s="113"/>
      <c r="Z12" s="113"/>
      <c r="AA12" s="113"/>
      <c r="AB12" s="113"/>
      <c r="AC12" s="113"/>
    </row>
    <row r="13" spans="2:29" ht="15" customHeight="1" x14ac:dyDescent="0.25">
      <c r="F13" s="110"/>
      <c r="G13" s="111"/>
      <c r="H13" s="111"/>
      <c r="I13" s="111"/>
      <c r="J13" s="111"/>
      <c r="K13" s="111"/>
      <c r="L13" s="111"/>
      <c r="M13" s="111"/>
      <c r="N13" s="111"/>
      <c r="O13" s="111"/>
      <c r="P13" s="112"/>
      <c r="W13" s="113"/>
      <c r="X13" s="113"/>
      <c r="Y13" s="113"/>
      <c r="Z13" s="113"/>
      <c r="AA13" s="113"/>
      <c r="AB13" s="113"/>
      <c r="AC13" s="113"/>
    </row>
    <row r="14" spans="2:29" ht="15" customHeight="1" x14ac:dyDescent="0.25">
      <c r="F14" s="110"/>
      <c r="G14" s="111"/>
      <c r="H14" s="111"/>
      <c r="I14" s="111"/>
      <c r="J14" s="111"/>
      <c r="K14" s="111"/>
      <c r="L14" s="111"/>
      <c r="M14" s="111"/>
      <c r="N14" s="111"/>
      <c r="O14" s="111"/>
      <c r="P14" s="112"/>
      <c r="S14" s="11"/>
      <c r="W14" s="113"/>
      <c r="X14" s="113"/>
      <c r="Y14" s="113"/>
      <c r="Z14" s="113"/>
      <c r="AA14" s="113"/>
      <c r="AB14" s="113"/>
      <c r="AC14" s="113"/>
    </row>
    <row r="15" spans="2:29" ht="20.25" customHeight="1" thickBot="1" x14ac:dyDescent="0.3">
      <c r="F15" s="114"/>
      <c r="G15" s="111"/>
      <c r="H15" s="115"/>
      <c r="I15" s="115"/>
      <c r="J15" s="115"/>
      <c r="K15" s="115"/>
      <c r="L15" s="115"/>
      <c r="M15" s="115"/>
      <c r="N15" s="115"/>
      <c r="O15" s="115"/>
      <c r="P15" s="116"/>
    </row>
    <row r="16" spans="2:29" ht="16.5" thickTop="1" thickBot="1" x14ac:dyDescent="0.3">
      <c r="G16" s="117"/>
    </row>
    <row r="17" spans="5:24" ht="15.75" thickTop="1" x14ac:dyDescent="0.25">
      <c r="G17" s="118" t="s">
        <v>99</v>
      </c>
      <c r="H17" s="119"/>
      <c r="I17" s="119"/>
      <c r="J17" s="119"/>
      <c r="K17" s="119"/>
      <c r="L17" s="119"/>
      <c r="M17" s="119"/>
      <c r="N17" s="119"/>
      <c r="O17" s="120"/>
    </row>
    <row r="18" spans="5:24" x14ac:dyDescent="0.25">
      <c r="G18" s="121"/>
      <c r="H18" s="122"/>
      <c r="I18" s="122"/>
      <c r="J18" s="122"/>
      <c r="K18" s="122"/>
      <c r="L18" s="122"/>
      <c r="M18" s="122"/>
      <c r="N18" s="122"/>
      <c r="O18" s="123"/>
    </row>
    <row r="19" spans="5:24" x14ac:dyDescent="0.25">
      <c r="G19" s="121"/>
      <c r="H19" s="122"/>
      <c r="I19" s="122"/>
      <c r="J19" s="122"/>
      <c r="K19" s="122"/>
      <c r="L19" s="122"/>
      <c r="M19" s="122"/>
      <c r="N19" s="122"/>
      <c r="O19" s="123"/>
    </row>
    <row r="20" spans="5:24" x14ac:dyDescent="0.25">
      <c r="G20" s="121"/>
      <c r="H20" s="122"/>
      <c r="I20" s="122"/>
      <c r="J20" s="122"/>
      <c r="K20" s="122"/>
      <c r="L20" s="122"/>
      <c r="M20" s="122"/>
      <c r="N20" s="122"/>
      <c r="O20" s="123"/>
    </row>
    <row r="21" spans="5:24" x14ac:dyDescent="0.25">
      <c r="G21" s="121"/>
      <c r="H21" s="122"/>
      <c r="I21" s="122"/>
      <c r="J21" s="122"/>
      <c r="K21" s="122"/>
      <c r="L21" s="122"/>
      <c r="M21" s="122"/>
      <c r="N21" s="122"/>
      <c r="O21" s="123"/>
    </row>
    <row r="22" spans="5:24" x14ac:dyDescent="0.25">
      <c r="G22" s="121"/>
      <c r="H22" s="122"/>
      <c r="I22" s="122"/>
      <c r="J22" s="122"/>
      <c r="K22" s="122"/>
      <c r="L22" s="122"/>
      <c r="M22" s="122"/>
      <c r="N22" s="122"/>
      <c r="O22" s="123"/>
    </row>
    <row r="23" spans="5:24" x14ac:dyDescent="0.25">
      <c r="G23" s="121"/>
      <c r="H23" s="122"/>
      <c r="I23" s="122"/>
      <c r="J23" s="122"/>
      <c r="K23" s="122"/>
      <c r="L23" s="122"/>
      <c r="M23" s="122"/>
      <c r="N23" s="122"/>
      <c r="O23" s="123"/>
    </row>
    <row r="24" spans="5:24" ht="15.75" thickBot="1" x14ac:dyDescent="0.3">
      <c r="G24" s="124"/>
      <c r="H24" s="125"/>
      <c r="I24" s="125"/>
      <c r="J24" s="125"/>
      <c r="K24" s="125"/>
      <c r="L24" s="125"/>
      <c r="M24" s="125"/>
      <c r="N24" s="125"/>
      <c r="O24" s="126"/>
    </row>
    <row r="25" spans="5:24" ht="15.75" thickTop="1" x14ac:dyDescent="0.25"/>
    <row r="26" spans="5:24" ht="15.75" thickBot="1" x14ac:dyDescent="0.3">
      <c r="E26" s="11"/>
    </row>
    <row r="27" spans="5:24" ht="15" customHeight="1" x14ac:dyDescent="0.25">
      <c r="E27" s="127" t="s">
        <v>100</v>
      </c>
      <c r="F27" s="128"/>
      <c r="G27" s="128"/>
      <c r="H27" s="128"/>
      <c r="I27" s="128"/>
      <c r="J27" s="128"/>
      <c r="K27" s="128"/>
      <c r="L27" s="128"/>
      <c r="M27" s="128"/>
      <c r="N27" s="128"/>
      <c r="O27" s="128"/>
      <c r="P27" s="128"/>
      <c r="Q27" s="129"/>
      <c r="R27" s="11"/>
    </row>
    <row r="28" spans="5:24" ht="15" customHeight="1" x14ac:dyDescent="0.25">
      <c r="E28" s="130"/>
      <c r="F28" s="131"/>
      <c r="G28" s="131"/>
      <c r="H28" s="131"/>
      <c r="I28" s="131"/>
      <c r="J28" s="131"/>
      <c r="K28" s="131"/>
      <c r="L28" s="131"/>
      <c r="M28" s="131"/>
      <c r="N28" s="131"/>
      <c r="O28" s="131"/>
      <c r="P28" s="131"/>
      <c r="Q28" s="132"/>
      <c r="R28" s="11"/>
    </row>
    <row r="29" spans="5:24" ht="15" customHeight="1" x14ac:dyDescent="0.25">
      <c r="E29" s="130"/>
      <c r="F29" s="131"/>
      <c r="G29" s="131"/>
      <c r="H29" s="131"/>
      <c r="I29" s="131"/>
      <c r="J29" s="131"/>
      <c r="K29" s="131"/>
      <c r="L29" s="131"/>
      <c r="M29" s="131"/>
      <c r="N29" s="131"/>
      <c r="O29" s="131"/>
      <c r="P29" s="131"/>
      <c r="Q29" s="132"/>
    </row>
    <row r="30" spans="5:24" ht="15" customHeight="1" x14ac:dyDescent="0.25">
      <c r="E30" s="130"/>
      <c r="F30" s="131"/>
      <c r="G30" s="131"/>
      <c r="H30" s="131"/>
      <c r="I30" s="131"/>
      <c r="J30" s="131"/>
      <c r="K30" s="131"/>
      <c r="L30" s="131"/>
      <c r="M30" s="131"/>
      <c r="N30" s="131"/>
      <c r="O30" s="131"/>
      <c r="P30" s="131"/>
      <c r="Q30" s="132"/>
      <c r="R30" s="133"/>
      <c r="S30" s="5"/>
      <c r="T30" s="5"/>
      <c r="U30" s="5"/>
      <c r="V30" s="5"/>
      <c r="W30" s="5"/>
      <c r="X30" s="5"/>
    </row>
    <row r="31" spans="5:24" ht="15" customHeight="1" x14ac:dyDescent="0.25">
      <c r="E31" s="130"/>
      <c r="F31" s="131"/>
      <c r="G31" s="131"/>
      <c r="H31" s="131"/>
      <c r="I31" s="131"/>
      <c r="J31" s="131"/>
      <c r="K31" s="131"/>
      <c r="L31" s="131"/>
      <c r="M31" s="131"/>
      <c r="N31" s="131"/>
      <c r="O31" s="131"/>
      <c r="P31" s="131"/>
      <c r="Q31" s="132"/>
    </row>
    <row r="32" spans="5:24" ht="15" customHeight="1" x14ac:dyDescent="0.25">
      <c r="E32" s="130"/>
      <c r="F32" s="131"/>
      <c r="G32" s="131"/>
      <c r="H32" s="131"/>
      <c r="I32" s="131"/>
      <c r="J32" s="131"/>
      <c r="K32" s="131"/>
      <c r="L32" s="131"/>
      <c r="M32" s="131"/>
      <c r="N32" s="131"/>
      <c r="O32" s="131"/>
      <c r="P32" s="131"/>
      <c r="Q32" s="132"/>
    </row>
    <row r="33" spans="5:17" ht="15" customHeight="1" x14ac:dyDescent="0.25">
      <c r="E33" s="130"/>
      <c r="F33" s="131"/>
      <c r="G33" s="131"/>
      <c r="H33" s="131"/>
      <c r="I33" s="131"/>
      <c r="J33" s="131"/>
      <c r="K33" s="131"/>
      <c r="L33" s="131"/>
      <c r="M33" s="131"/>
      <c r="N33" s="131"/>
      <c r="O33" s="131"/>
      <c r="P33" s="131"/>
      <c r="Q33" s="132"/>
    </row>
    <row r="34" spans="5:17" ht="15" customHeight="1" x14ac:dyDescent="0.25">
      <c r="E34" s="130"/>
      <c r="F34" s="131"/>
      <c r="G34" s="131"/>
      <c r="H34" s="131"/>
      <c r="I34" s="131"/>
      <c r="J34" s="131"/>
      <c r="K34" s="131"/>
      <c r="L34" s="131"/>
      <c r="M34" s="131"/>
      <c r="N34" s="131"/>
      <c r="O34" s="131"/>
      <c r="P34" s="131"/>
      <c r="Q34" s="132"/>
    </row>
    <row r="35" spans="5:17" ht="15" customHeight="1" x14ac:dyDescent="0.25">
      <c r="E35" s="130"/>
      <c r="F35" s="131"/>
      <c r="G35" s="131"/>
      <c r="H35" s="131"/>
      <c r="I35" s="131"/>
      <c r="J35" s="131"/>
      <c r="K35" s="131"/>
      <c r="L35" s="131"/>
      <c r="M35" s="131"/>
      <c r="N35" s="131"/>
      <c r="O35" s="131"/>
      <c r="P35" s="131"/>
      <c r="Q35" s="132"/>
    </row>
    <row r="36" spans="5:17" ht="15" customHeight="1" x14ac:dyDescent="0.25">
      <c r="E36" s="130"/>
      <c r="F36" s="131"/>
      <c r="G36" s="131"/>
      <c r="H36" s="131"/>
      <c r="I36" s="131"/>
      <c r="J36" s="131"/>
      <c r="K36" s="131"/>
      <c r="L36" s="131"/>
      <c r="M36" s="131"/>
      <c r="N36" s="131"/>
      <c r="O36" s="131"/>
      <c r="P36" s="131"/>
      <c r="Q36" s="132"/>
    </row>
    <row r="37" spans="5:17" ht="15" customHeight="1" x14ac:dyDescent="0.25">
      <c r="E37" s="130"/>
      <c r="F37" s="131"/>
      <c r="G37" s="131"/>
      <c r="H37" s="131"/>
      <c r="I37" s="131"/>
      <c r="J37" s="131"/>
      <c r="K37" s="131"/>
      <c r="L37" s="131"/>
      <c r="M37" s="131"/>
      <c r="N37" s="131"/>
      <c r="O37" s="131"/>
      <c r="P37" s="131"/>
      <c r="Q37" s="132"/>
    </row>
    <row r="38" spans="5:17" ht="15" customHeight="1" x14ac:dyDescent="0.25">
      <c r="E38" s="130"/>
      <c r="F38" s="131"/>
      <c r="G38" s="131"/>
      <c r="H38" s="131"/>
      <c r="I38" s="131"/>
      <c r="J38" s="131"/>
      <c r="K38" s="131"/>
      <c r="L38" s="131"/>
      <c r="M38" s="131"/>
      <c r="N38" s="131"/>
      <c r="O38" s="131"/>
      <c r="P38" s="131"/>
      <c r="Q38" s="132"/>
    </row>
    <row r="39" spans="5:17" x14ac:dyDescent="0.25">
      <c r="E39" s="130"/>
      <c r="F39" s="131"/>
      <c r="G39" s="131"/>
      <c r="H39" s="131"/>
      <c r="I39" s="131"/>
      <c r="J39" s="131"/>
      <c r="K39" s="131"/>
      <c r="L39" s="131"/>
      <c r="M39" s="131"/>
      <c r="N39" s="131"/>
      <c r="O39" s="131"/>
      <c r="P39" s="131"/>
      <c r="Q39" s="132"/>
    </row>
    <row r="40" spans="5:17" ht="15.75" thickBot="1" x14ac:dyDescent="0.3">
      <c r="E40" s="134"/>
      <c r="F40" s="135"/>
      <c r="G40" s="135"/>
      <c r="H40" s="135"/>
      <c r="I40" s="135"/>
      <c r="J40" s="135"/>
      <c r="K40" s="135"/>
      <c r="L40" s="135"/>
      <c r="M40" s="135"/>
      <c r="N40" s="135"/>
      <c r="O40" s="135"/>
      <c r="P40" s="135"/>
      <c r="Q40" s="136"/>
    </row>
    <row r="41" spans="5:17" x14ac:dyDescent="0.25">
      <c r="N41" s="11"/>
      <c r="O41" s="11"/>
    </row>
  </sheetData>
  <mergeCells count="6">
    <mergeCell ref="B2:E6"/>
    <mergeCell ref="H4:N6"/>
    <mergeCell ref="F8:P15"/>
    <mergeCell ref="W12:AC14"/>
    <mergeCell ref="G17:O24"/>
    <mergeCell ref="E27:Q4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1"/>
  <sheetViews>
    <sheetView zoomScale="170" zoomScaleNormal="170" workbookViewId="0">
      <selection activeCell="J8" sqref="J8"/>
    </sheetView>
  </sheetViews>
  <sheetFormatPr defaultRowHeight="15" x14ac:dyDescent="0.25"/>
  <cols>
    <col min="1" max="1" width="13.5703125" customWidth="1"/>
    <col min="2" max="2" width="17.140625" customWidth="1"/>
    <col min="3" max="3" width="4" style="5" customWidth="1"/>
    <col min="4" max="4" width="21.140625" customWidth="1"/>
    <col min="5" max="5" width="11.28515625" customWidth="1"/>
    <col min="6" max="6" width="2.5703125" customWidth="1"/>
    <col min="7" max="7" width="25.5703125" customWidth="1"/>
    <col min="8" max="8" width="12.140625" bestFit="1" customWidth="1"/>
    <col min="10" max="10" width="14.85546875" customWidth="1"/>
    <col min="11" max="11" width="18.28515625" customWidth="1"/>
  </cols>
  <sheetData>
    <row r="2" spans="1:11" x14ac:dyDescent="0.25">
      <c r="B2" s="31"/>
      <c r="C2" s="137"/>
      <c r="D2" s="68" t="s">
        <v>60</v>
      </c>
      <c r="E2" s="69"/>
      <c r="F2" s="69"/>
      <c r="G2" s="69"/>
      <c r="H2" s="70"/>
      <c r="J2" s="71"/>
      <c r="K2" s="71"/>
    </row>
    <row r="3" spans="1:11" x14ac:dyDescent="0.25">
      <c r="A3" s="77" t="s">
        <v>94</v>
      </c>
      <c r="B3" s="77"/>
      <c r="C3" s="138"/>
      <c r="D3" s="63" t="s">
        <v>0</v>
      </c>
      <c r="E3" s="34">
        <v>200000</v>
      </c>
      <c r="F3" s="35"/>
      <c r="G3" s="35" t="s">
        <v>85</v>
      </c>
      <c r="H3" s="36">
        <f>MIN(E$16,1)</f>
        <v>0.8</v>
      </c>
    </row>
    <row r="4" spans="1:11" x14ac:dyDescent="0.25">
      <c r="A4" s="64" t="s">
        <v>88</v>
      </c>
      <c r="B4" s="31" t="s">
        <v>55</v>
      </c>
      <c r="C4" s="139"/>
      <c r="D4" s="63" t="s">
        <v>1</v>
      </c>
      <c r="E4" s="37">
        <v>0.75</v>
      </c>
      <c r="F4" s="35"/>
      <c r="G4" s="35" t="s">
        <v>10</v>
      </c>
      <c r="H4" s="38">
        <f>E$5-E$6</f>
        <v>90000</v>
      </c>
    </row>
    <row r="5" spans="1:11" x14ac:dyDescent="0.25">
      <c r="A5" s="64" t="s">
        <v>89</v>
      </c>
      <c r="B5" s="31" t="s">
        <v>25</v>
      </c>
      <c r="C5" s="138"/>
      <c r="D5" s="63" t="s">
        <v>8</v>
      </c>
      <c r="E5" s="34">
        <v>250000</v>
      </c>
      <c r="F5" s="35"/>
      <c r="G5" s="35" t="s">
        <v>13</v>
      </c>
      <c r="H5" s="38">
        <f>H$4*H$3</f>
        <v>72000</v>
      </c>
      <c r="J5" s="29"/>
      <c r="K5" s="29"/>
    </row>
    <row r="6" spans="1:11" x14ac:dyDescent="0.25">
      <c r="A6" s="64" t="s">
        <v>90</v>
      </c>
      <c r="B6" s="31" t="s">
        <v>91</v>
      </c>
      <c r="C6" s="138"/>
      <c r="D6" s="63" t="s">
        <v>9</v>
      </c>
      <c r="E6" s="34">
        <v>160000</v>
      </c>
      <c r="F6" s="35"/>
      <c r="G6" s="35"/>
      <c r="H6" s="39"/>
    </row>
    <row r="7" spans="1:11" x14ac:dyDescent="0.25">
      <c r="A7" s="64" t="s">
        <v>92</v>
      </c>
      <c r="B7" s="31" t="s">
        <v>66</v>
      </c>
      <c r="C7" s="140"/>
      <c r="D7" s="63" t="s">
        <v>69</v>
      </c>
      <c r="E7" s="62">
        <v>9303</v>
      </c>
      <c r="F7" s="35"/>
      <c r="G7" s="35" t="s">
        <v>39</v>
      </c>
      <c r="H7" s="39"/>
    </row>
    <row r="8" spans="1:11" x14ac:dyDescent="0.25">
      <c r="A8" s="64" t="s">
        <v>93</v>
      </c>
      <c r="B8" s="31" t="s">
        <v>67</v>
      </c>
      <c r="C8" s="141"/>
      <c r="D8" s="63" t="s">
        <v>15</v>
      </c>
      <c r="E8" s="49">
        <v>1</v>
      </c>
      <c r="F8" s="35"/>
      <c r="G8" s="35" t="s">
        <v>16</v>
      </c>
      <c r="H8" s="39"/>
      <c r="J8" s="143"/>
    </row>
    <row r="9" spans="1:11" x14ac:dyDescent="0.25">
      <c r="B9" s="31"/>
      <c r="C9" s="142"/>
      <c r="D9" s="50"/>
      <c r="E9" s="50"/>
      <c r="F9" s="35"/>
      <c r="G9" s="35" t="s">
        <v>18</v>
      </c>
      <c r="H9" s="38">
        <f>E$10*E$5*E$16</f>
        <v>50000</v>
      </c>
    </row>
    <row r="10" spans="1:11" x14ac:dyDescent="0.25">
      <c r="B10" s="31"/>
      <c r="C10" s="137"/>
      <c r="D10" s="33" t="s">
        <v>12</v>
      </c>
      <c r="E10" s="40" t="str">
        <f>IF(E$4=0.75,"0.25",IF(E$4=0.7,"0.30",IF(E$4=0.65,"0.35",IF(E$4=0.6,"0.4",IF(E$4=0.55,"0.45",IF(E$4=0.5,"0.50"))))))</f>
        <v>0.25</v>
      </c>
      <c r="F10" s="35"/>
      <c r="G10" s="35" t="s">
        <v>3</v>
      </c>
      <c r="H10" s="38">
        <f>E$3*E$10</f>
        <v>50000</v>
      </c>
    </row>
    <row r="11" spans="1:11" x14ac:dyDescent="0.25">
      <c r="B11" s="31"/>
      <c r="C11" s="137"/>
      <c r="D11" s="33" t="s">
        <v>2</v>
      </c>
      <c r="E11" s="41">
        <f>E$3*E$4</f>
        <v>150000</v>
      </c>
      <c r="F11" s="35"/>
      <c r="G11" s="35" t="s">
        <v>19</v>
      </c>
      <c r="H11" s="38">
        <f>MIN(H$9,H$10)</f>
        <v>50000</v>
      </c>
    </row>
    <row r="12" spans="1:11" x14ac:dyDescent="0.25">
      <c r="B12" s="31"/>
      <c r="C12" s="137"/>
      <c r="D12" s="33" t="s">
        <v>3</v>
      </c>
      <c r="E12" s="41">
        <f>E$3*E$10</f>
        <v>50000</v>
      </c>
      <c r="F12" s="35"/>
      <c r="G12" s="35"/>
      <c r="H12" s="39"/>
    </row>
    <row r="13" spans="1:11" x14ac:dyDescent="0.25">
      <c r="B13" s="31"/>
      <c r="C13" s="137"/>
      <c r="D13" s="33"/>
      <c r="E13" s="35"/>
      <c r="F13" s="35"/>
      <c r="G13" s="35" t="s">
        <v>61</v>
      </c>
      <c r="H13" s="38">
        <f>IF(H$5&gt;=H$11,H$5-H$11,"0")</f>
        <v>22000</v>
      </c>
    </row>
    <row r="14" spans="1:11" x14ac:dyDescent="0.25">
      <c r="B14" s="31"/>
      <c r="C14" s="137"/>
      <c r="D14" s="33" t="s">
        <v>35</v>
      </c>
      <c r="E14" s="42" t="str">
        <f>IF(E$3&lt;=E$5,"YES","NO STOP")</f>
        <v>YES</v>
      </c>
      <c r="F14" s="35"/>
      <c r="G14" s="35"/>
      <c r="H14" s="39"/>
      <c r="I14" s="10"/>
    </row>
    <row r="15" spans="1:11" x14ac:dyDescent="0.25">
      <c r="B15" s="31"/>
      <c r="C15" s="137"/>
      <c r="D15" s="33"/>
      <c r="E15" s="35"/>
      <c r="F15" s="35"/>
      <c r="G15" s="45" t="s">
        <v>14</v>
      </c>
      <c r="H15" s="46">
        <f>H$13*(E$8)</f>
        <v>22000</v>
      </c>
    </row>
    <row r="16" spans="1:11" x14ac:dyDescent="0.25">
      <c r="B16" s="31"/>
      <c r="C16" s="137"/>
      <c r="D16" s="76" t="s">
        <v>86</v>
      </c>
      <c r="E16" s="44">
        <f>IF(E$14 ="YES", ROUND((E$3/E$5),2), "ERROR ")</f>
        <v>0.8</v>
      </c>
      <c r="F16" s="35"/>
      <c r="G16" s="48" t="s">
        <v>74</v>
      </c>
      <c r="H16" s="51">
        <f>IF(H$15&gt;0,H4-H15,E5-E6)</f>
        <v>68000</v>
      </c>
    </row>
    <row r="17" spans="2:8" x14ac:dyDescent="0.25">
      <c r="B17" s="31"/>
      <c r="C17" s="137"/>
      <c r="D17" s="76"/>
      <c r="E17" s="47">
        <v>1</v>
      </c>
      <c r="F17" s="35"/>
      <c r="G17" s="48" t="s">
        <v>75</v>
      </c>
      <c r="H17" s="51">
        <f>H$4</f>
        <v>90000</v>
      </c>
    </row>
    <row r="18" spans="2:8" x14ac:dyDescent="0.25">
      <c r="B18" s="31"/>
      <c r="C18" s="137"/>
      <c r="D18" s="61"/>
      <c r="E18" s="47"/>
      <c r="F18" s="35"/>
      <c r="G18" s="45" t="s">
        <v>68</v>
      </c>
      <c r="H18" s="51">
        <f>IF(H$13&gt;0,H$15-E$7,E$7*-1)</f>
        <v>12697</v>
      </c>
    </row>
    <row r="19" spans="2:8" x14ac:dyDescent="0.25">
      <c r="B19" s="31"/>
      <c r="C19" s="137"/>
      <c r="D19" s="33"/>
      <c r="E19" s="35"/>
      <c r="F19" s="35"/>
      <c r="H19" s="17"/>
    </row>
    <row r="20" spans="2:8" ht="15" customHeight="1" x14ac:dyDescent="0.25">
      <c r="B20" s="31"/>
      <c r="C20" s="142"/>
      <c r="D20" s="72" t="s">
        <v>77</v>
      </c>
      <c r="E20" s="73"/>
      <c r="F20" s="73"/>
      <c r="G20" s="52" t="s">
        <v>78</v>
      </c>
      <c r="H20" s="53">
        <f>E$6+H18</f>
        <v>172697</v>
      </c>
    </row>
    <row r="21" spans="2:8" x14ac:dyDescent="0.25">
      <c r="B21" s="31"/>
      <c r="C21" s="142"/>
      <c r="D21" s="74"/>
      <c r="E21" s="75"/>
      <c r="F21" s="75"/>
      <c r="G21" s="54" t="s">
        <v>79</v>
      </c>
      <c r="H21" s="55">
        <f>E6</f>
        <v>160000</v>
      </c>
    </row>
  </sheetData>
  <sheetProtection algorithmName="SHA-512" hashValue="o8CV3rJ1KeSemVxGLEplFJpST/37V/k9zVbvRBg+CWJdXXhbv0f0O0KEPpIW56cY/gjFRmhp8fVpm9c4D7NdTQ==" saltValue="sl8xoANRMKuHrLurTgz8IA==" spinCount="100000" sheet="1" objects="1" scenarios="1"/>
  <mergeCells count="5">
    <mergeCell ref="D2:H2"/>
    <mergeCell ref="J2:K2"/>
    <mergeCell ref="D20:F21"/>
    <mergeCell ref="D16:D17"/>
    <mergeCell ref="A3:B3"/>
  </mergeCells>
  <dataValidations count="2">
    <dataValidation type="list" showInputMessage="1" showErrorMessage="1" error="Select a coverage level" promptTitle="Coverage level" sqref="E4 C4">
      <formula1>Cov_level</formula1>
    </dataValidation>
    <dataValidation type="whole" allowBlank="1" showInputMessage="1" showErrorMessage="1" error="Must be a number from 1 to 100" sqref="E8 C8">
      <formula1>1</formula1>
      <formula2>100</formula2>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22"/>
  <sheetViews>
    <sheetView topLeftCell="A4" zoomScale="170" zoomScaleNormal="170" workbookViewId="0">
      <selection activeCell="C1" sqref="C1:C1048576"/>
    </sheetView>
  </sheetViews>
  <sheetFormatPr defaultRowHeight="15" x14ac:dyDescent="0.25"/>
  <cols>
    <col min="1" max="1" width="14.28515625" customWidth="1"/>
    <col min="2" max="2" width="17.85546875" customWidth="1"/>
    <col min="3" max="3" width="9.140625" style="5" customWidth="1"/>
    <col min="4" max="4" width="22.140625" customWidth="1"/>
    <col min="5" max="5" width="11.28515625" customWidth="1"/>
    <col min="6" max="6" width="3" customWidth="1"/>
    <col min="7" max="7" width="28.140625" customWidth="1"/>
    <col min="8" max="8" width="10.5703125" customWidth="1"/>
    <col min="10" max="10" width="15.28515625" customWidth="1"/>
    <col min="11" max="11" width="17" customWidth="1"/>
  </cols>
  <sheetData>
    <row r="3" spans="1:13" x14ac:dyDescent="0.25">
      <c r="A3" s="77" t="s">
        <v>94</v>
      </c>
      <c r="B3" s="77"/>
      <c r="C3" s="137"/>
      <c r="D3" s="68" t="s">
        <v>62</v>
      </c>
      <c r="E3" s="69"/>
      <c r="F3" s="69"/>
      <c r="G3" s="69"/>
      <c r="H3" s="70"/>
      <c r="I3" s="10"/>
      <c r="J3" s="71"/>
      <c r="K3" s="71"/>
    </row>
    <row r="4" spans="1:13" x14ac:dyDescent="0.25">
      <c r="A4" s="64" t="s">
        <v>88</v>
      </c>
      <c r="B4" s="31" t="s">
        <v>55</v>
      </c>
      <c r="C4" s="138"/>
      <c r="D4" s="63" t="s">
        <v>45</v>
      </c>
      <c r="E4" s="144">
        <v>250000</v>
      </c>
      <c r="F4" s="35"/>
      <c r="G4" s="35" t="s">
        <v>52</v>
      </c>
      <c r="H4" s="38">
        <f>E$6-E$7</f>
        <v>100000</v>
      </c>
      <c r="M4" s="6"/>
    </row>
    <row r="5" spans="1:13" x14ac:dyDescent="0.25">
      <c r="A5" s="64" t="s">
        <v>89</v>
      </c>
      <c r="B5" s="31" t="s">
        <v>25</v>
      </c>
      <c r="C5" s="139"/>
      <c r="D5" s="63" t="s">
        <v>49</v>
      </c>
      <c r="E5" s="145">
        <v>0.75</v>
      </c>
      <c r="F5" s="35"/>
      <c r="G5" s="35"/>
      <c r="H5" s="39"/>
    </row>
    <row r="6" spans="1:13" x14ac:dyDescent="0.25">
      <c r="A6" s="64" t="s">
        <v>90</v>
      </c>
      <c r="B6" s="31" t="s">
        <v>91</v>
      </c>
      <c r="C6" s="138"/>
      <c r="D6" s="63" t="s">
        <v>46</v>
      </c>
      <c r="E6" s="144">
        <v>200000</v>
      </c>
      <c r="F6" s="35"/>
      <c r="G6" s="35" t="s">
        <v>39</v>
      </c>
      <c r="H6" s="39"/>
      <c r="J6" s="29"/>
      <c r="K6" s="29"/>
    </row>
    <row r="7" spans="1:13" x14ac:dyDescent="0.25">
      <c r="A7" s="64" t="s">
        <v>92</v>
      </c>
      <c r="B7" s="31" t="s">
        <v>66</v>
      </c>
      <c r="C7" s="138"/>
      <c r="D7" s="63" t="s">
        <v>47</v>
      </c>
      <c r="E7" s="144">
        <v>100000</v>
      </c>
      <c r="F7" s="35"/>
      <c r="G7" s="35" t="s">
        <v>53</v>
      </c>
      <c r="H7" s="39"/>
    </row>
    <row r="8" spans="1:13" x14ac:dyDescent="0.25">
      <c r="A8" s="64" t="s">
        <v>93</v>
      </c>
      <c r="B8" s="31" t="s">
        <v>67</v>
      </c>
      <c r="C8" s="138"/>
      <c r="D8" s="63" t="s">
        <v>48</v>
      </c>
      <c r="E8" s="144">
        <v>20000</v>
      </c>
      <c r="F8" s="35"/>
      <c r="G8" s="35" t="s">
        <v>41</v>
      </c>
      <c r="H8" s="38">
        <f>((E$12*E$6)*(1+E$17))</f>
        <v>52000</v>
      </c>
    </row>
    <row r="9" spans="1:13" x14ac:dyDescent="0.25">
      <c r="B9" s="31"/>
      <c r="C9" s="140"/>
      <c r="D9" s="63" t="s">
        <v>69</v>
      </c>
      <c r="E9" s="146">
        <v>11629</v>
      </c>
      <c r="F9" s="35"/>
      <c r="G9" s="35" t="s">
        <v>3</v>
      </c>
      <c r="H9" s="38">
        <f>E$4*E$12</f>
        <v>62500</v>
      </c>
    </row>
    <row r="10" spans="1:13" x14ac:dyDescent="0.25">
      <c r="B10" s="31"/>
      <c r="C10" s="141"/>
      <c r="D10" s="63" t="s">
        <v>23</v>
      </c>
      <c r="E10" s="147">
        <v>1</v>
      </c>
      <c r="F10" s="35"/>
      <c r="G10" s="35" t="s">
        <v>42</v>
      </c>
      <c r="H10" s="38">
        <f>MIN(H$8,H$9)</f>
        <v>52000</v>
      </c>
    </row>
    <row r="11" spans="1:13" x14ac:dyDescent="0.25">
      <c r="B11" s="31"/>
      <c r="C11" s="137"/>
      <c r="D11" s="33"/>
      <c r="E11" s="35"/>
      <c r="F11" s="35"/>
      <c r="G11" s="35"/>
      <c r="H11" s="39"/>
    </row>
    <row r="12" spans="1:13" x14ac:dyDescent="0.25">
      <c r="B12" s="31"/>
      <c r="C12" s="137"/>
      <c r="D12" s="33" t="s">
        <v>50</v>
      </c>
      <c r="E12" s="40" t="str">
        <f>IF(E$5=0.75,"0.25",IF(E$5=0.7,"0.30",IF(E$5=0.65,"0.35",IF(E$5=0.6,"0.4",IF(E$5=0.55,"0.45",IF(E$5=0.5,"0.50"))))))</f>
        <v>0.25</v>
      </c>
      <c r="F12" s="35"/>
      <c r="G12" s="35" t="s">
        <v>21</v>
      </c>
      <c r="H12" s="38">
        <f>H$4*(1-E$17)</f>
        <v>96000</v>
      </c>
    </row>
    <row r="13" spans="1:13" x14ac:dyDescent="0.25">
      <c r="B13" s="31"/>
      <c r="C13" s="137"/>
      <c r="D13" s="33" t="s">
        <v>43</v>
      </c>
      <c r="E13" s="41">
        <f>E$4*E$5</f>
        <v>187500</v>
      </c>
      <c r="F13" s="35"/>
      <c r="G13" s="35" t="s">
        <v>22</v>
      </c>
      <c r="H13" s="38">
        <f>IF(H$12&gt;=H$10,H$12-H$10,"0")</f>
        <v>44000</v>
      </c>
    </row>
    <row r="14" spans="1:13" x14ac:dyDescent="0.25">
      <c r="B14" s="31"/>
      <c r="C14" s="137"/>
      <c r="D14" s="33" t="s">
        <v>44</v>
      </c>
      <c r="E14" s="41">
        <f>E$4*E$12</f>
        <v>62500</v>
      </c>
      <c r="F14" s="35"/>
      <c r="G14" s="35"/>
      <c r="H14" s="39"/>
    </row>
    <row r="15" spans="1:13" x14ac:dyDescent="0.25">
      <c r="B15" s="31"/>
      <c r="C15" s="137"/>
      <c r="D15" s="33" t="s">
        <v>40</v>
      </c>
      <c r="E15" s="42" t="str">
        <f>IF(E$4&gt;E$6,"YES"," NO STOP")</f>
        <v>YES</v>
      </c>
      <c r="F15" s="35"/>
      <c r="G15" s="45" t="s">
        <v>14</v>
      </c>
      <c r="H15" s="46">
        <f>H$13*E$10</f>
        <v>44000</v>
      </c>
      <c r="I15" s="11"/>
    </row>
    <row r="16" spans="1:13" x14ac:dyDescent="0.25">
      <c r="B16" s="31"/>
      <c r="C16" s="137"/>
      <c r="D16" s="33"/>
      <c r="E16" s="35"/>
      <c r="F16" s="35"/>
      <c r="G16" s="48" t="s">
        <v>72</v>
      </c>
      <c r="H16" s="46">
        <f>IF(H15&gt;0,H$4-H$15,E6-E7)</f>
        <v>56000</v>
      </c>
    </row>
    <row r="17" spans="2:8" x14ac:dyDescent="0.25">
      <c r="B17" s="31"/>
      <c r="C17" s="137"/>
      <c r="D17" s="33" t="s">
        <v>51</v>
      </c>
      <c r="E17" s="44">
        <f>IF(E$15="YES", ROUND(((E$4/(E$6+E$8))-1.1),2), "ERROR")</f>
        <v>0.04</v>
      </c>
      <c r="F17" s="35"/>
      <c r="G17" s="48" t="s">
        <v>73</v>
      </c>
      <c r="H17" s="51">
        <f>H$4</f>
        <v>100000</v>
      </c>
    </row>
    <row r="18" spans="2:8" x14ac:dyDescent="0.25">
      <c r="B18" s="31"/>
      <c r="C18" s="137"/>
      <c r="D18" s="33"/>
      <c r="E18" s="44"/>
      <c r="F18" s="35"/>
      <c r="G18" s="45" t="s">
        <v>68</v>
      </c>
      <c r="H18" s="55">
        <f>IF(H$13&gt;0,H$15-E$9, E$9*-1)</f>
        <v>32371</v>
      </c>
    </row>
    <row r="19" spans="2:8" x14ac:dyDescent="0.25">
      <c r="B19" s="31"/>
      <c r="C19" s="137"/>
      <c r="D19" s="33"/>
      <c r="E19" s="35"/>
      <c r="F19" s="35"/>
      <c r="H19" s="17"/>
    </row>
    <row r="20" spans="2:8" x14ac:dyDescent="0.25">
      <c r="B20" s="31"/>
      <c r="C20" s="142"/>
      <c r="D20" s="78" t="s">
        <v>77</v>
      </c>
      <c r="E20" s="79"/>
      <c r="F20" s="79"/>
      <c r="G20" s="52" t="s">
        <v>78</v>
      </c>
      <c r="H20" s="53">
        <f>E$7+H$18</f>
        <v>132371</v>
      </c>
    </row>
    <row r="21" spans="2:8" x14ac:dyDescent="0.25">
      <c r="B21" s="31"/>
      <c r="C21" s="142"/>
      <c r="D21" s="80"/>
      <c r="E21" s="81"/>
      <c r="F21" s="81"/>
      <c r="G21" s="54" t="s">
        <v>79</v>
      </c>
      <c r="H21" s="55">
        <f>E$7</f>
        <v>100000</v>
      </c>
    </row>
    <row r="22" spans="2:8" x14ac:dyDescent="0.25">
      <c r="D22" s="5"/>
      <c r="E22" s="5"/>
      <c r="F22" s="5"/>
      <c r="G22" s="5"/>
      <c r="H22" s="5"/>
    </row>
  </sheetData>
  <sheetProtection algorithmName="SHA-512" hashValue="V4xKGJ0XTrzj8/3LJLBLmhxlLHgmC8BYHw7jFug8XzISA95gp3+5XzHUSoJkOeuaRZDBqHIZq59WpJtf4XFMTQ==" saltValue="V7ClQ272l7WRQciUdAV2cg==" spinCount="100000" sheet="1" objects="1" scenarios="1"/>
  <mergeCells count="4">
    <mergeCell ref="D3:H3"/>
    <mergeCell ref="J3:K3"/>
    <mergeCell ref="D20:F21"/>
    <mergeCell ref="A3:B3"/>
  </mergeCells>
  <dataValidations count="2">
    <dataValidation type="list" showInputMessage="1" showErrorMessage="1" error="Select a coverage level" promptTitle="Coverage level" sqref="E5 C5">
      <formula1>Cov_level</formula1>
    </dataValidation>
    <dataValidation type="whole" allowBlank="1" showInputMessage="1" showErrorMessage="1" error="Percentage must be whole number from 1 to 100" sqref="E10 C10">
      <formula1>1</formula1>
      <formula2>100</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1"/>
  <sheetViews>
    <sheetView zoomScale="170" zoomScaleNormal="170" workbookViewId="0">
      <selection activeCell="H11" sqref="H11"/>
    </sheetView>
  </sheetViews>
  <sheetFormatPr defaultRowHeight="15" x14ac:dyDescent="0.25"/>
  <cols>
    <col min="1" max="1" width="12.42578125" customWidth="1"/>
    <col min="2" max="2" width="14.85546875" style="5" customWidth="1"/>
    <col min="3" max="3" width="21.140625" customWidth="1"/>
    <col min="4" max="4" width="11.28515625" customWidth="1"/>
    <col min="5" max="5" width="2.5703125" customWidth="1"/>
    <col min="6" max="6" width="25.5703125" customWidth="1"/>
    <col min="7" max="7" width="12.140625" bestFit="1" customWidth="1"/>
    <col min="9" max="9" width="14.85546875" customWidth="1"/>
    <col min="10" max="10" width="18.28515625" customWidth="1"/>
  </cols>
  <sheetData>
    <row r="2" spans="1:10" x14ac:dyDescent="0.25">
      <c r="A2" s="31"/>
      <c r="B2" s="137"/>
      <c r="C2" s="68" t="s">
        <v>60</v>
      </c>
      <c r="D2" s="69"/>
      <c r="E2" s="69"/>
      <c r="F2" s="69"/>
      <c r="G2" s="70"/>
      <c r="I2" s="71"/>
      <c r="J2" s="71"/>
    </row>
    <row r="3" spans="1:10" x14ac:dyDescent="0.25">
      <c r="A3" s="32" t="s">
        <v>56</v>
      </c>
      <c r="B3" s="137"/>
      <c r="C3" s="33" t="s">
        <v>0</v>
      </c>
      <c r="D3" s="144">
        <v>100000</v>
      </c>
      <c r="E3" s="35"/>
      <c r="F3" s="35" t="s">
        <v>36</v>
      </c>
      <c r="G3" s="36">
        <f>MIN(D$16,1)</f>
        <v>0.8</v>
      </c>
    </row>
    <row r="4" spans="1:10" x14ac:dyDescent="0.25">
      <c r="A4" s="31" t="s">
        <v>55</v>
      </c>
      <c r="B4" s="137"/>
      <c r="C4" s="33" t="s">
        <v>1</v>
      </c>
      <c r="D4" s="145">
        <v>0.75</v>
      </c>
      <c r="E4" s="35"/>
      <c r="F4" s="35" t="s">
        <v>10</v>
      </c>
      <c r="G4" s="38">
        <f>D$5-D$6</f>
        <v>45000</v>
      </c>
    </row>
    <row r="5" spans="1:10" x14ac:dyDescent="0.25">
      <c r="A5" s="31" t="s">
        <v>25</v>
      </c>
      <c r="B5" s="137"/>
      <c r="C5" s="33" t="s">
        <v>8</v>
      </c>
      <c r="D5" s="144">
        <v>125000</v>
      </c>
      <c r="E5" s="35"/>
      <c r="F5" s="35" t="s">
        <v>13</v>
      </c>
      <c r="G5" s="38">
        <f>G$4*G$3</f>
        <v>36000</v>
      </c>
      <c r="I5" s="29"/>
      <c r="J5" s="29"/>
    </row>
    <row r="6" spans="1:10" x14ac:dyDescent="0.25">
      <c r="A6" s="31" t="s">
        <v>57</v>
      </c>
      <c r="B6" s="137"/>
      <c r="C6" s="33" t="s">
        <v>9</v>
      </c>
      <c r="D6" s="144">
        <v>80000</v>
      </c>
      <c r="E6" s="35"/>
      <c r="F6" s="35"/>
      <c r="G6" s="39"/>
    </row>
    <row r="7" spans="1:10" x14ac:dyDescent="0.25">
      <c r="A7" s="31" t="s">
        <v>66</v>
      </c>
      <c r="B7" s="137"/>
      <c r="C7" s="33" t="s">
        <v>15</v>
      </c>
      <c r="D7" s="149">
        <v>1</v>
      </c>
      <c r="E7" s="35"/>
      <c r="F7" s="35" t="s">
        <v>39</v>
      </c>
      <c r="G7" s="39"/>
    </row>
    <row r="8" spans="1:10" x14ac:dyDescent="0.25">
      <c r="A8" s="31" t="s">
        <v>67</v>
      </c>
      <c r="B8" s="137"/>
      <c r="C8" s="33" t="s">
        <v>69</v>
      </c>
      <c r="D8" s="144">
        <v>4652</v>
      </c>
      <c r="E8" s="35"/>
      <c r="F8" s="35" t="s">
        <v>16</v>
      </c>
      <c r="G8" s="39"/>
    </row>
    <row r="9" spans="1:10" x14ac:dyDescent="0.25">
      <c r="A9" s="31"/>
      <c r="B9" s="150"/>
      <c r="C9" s="50"/>
      <c r="D9" s="50"/>
      <c r="E9" s="35"/>
      <c r="F9" s="35" t="s">
        <v>18</v>
      </c>
      <c r="G9" s="38">
        <f>D$10*D$5*D$16</f>
        <v>25000</v>
      </c>
    </row>
    <row r="10" spans="1:10" x14ac:dyDescent="0.25">
      <c r="A10" s="31"/>
      <c r="B10" s="139"/>
      <c r="C10" s="33" t="s">
        <v>12</v>
      </c>
      <c r="D10" s="40" t="str">
        <f>IF(D$4=0.75,"0.25",IF(D$4=0.7,"0.30",IF(D$4=0.65,"0.35",IF(D$4=0.6,"0.4",IF(D$4=0.55,"0.45",IF(D$4=0.5,"0.50"))))))</f>
        <v>0.25</v>
      </c>
      <c r="E10" s="35"/>
      <c r="F10" s="35" t="s">
        <v>3</v>
      </c>
      <c r="G10" s="38">
        <f>D$3*D$10</f>
        <v>25000</v>
      </c>
    </row>
    <row r="11" spans="1:10" x14ac:dyDescent="0.25">
      <c r="A11" s="31"/>
      <c r="B11" s="138"/>
      <c r="C11" s="33" t="s">
        <v>2</v>
      </c>
      <c r="D11" s="41">
        <f>D$3*D$4</f>
        <v>75000</v>
      </c>
      <c r="E11" s="35"/>
      <c r="F11" s="35" t="s">
        <v>19</v>
      </c>
      <c r="G11" s="38">
        <f>MIN(G$9,G$10)</f>
        <v>25000</v>
      </c>
    </row>
    <row r="12" spans="1:10" x14ac:dyDescent="0.25">
      <c r="A12" s="31"/>
      <c r="B12" s="138"/>
      <c r="C12" s="33" t="s">
        <v>3</v>
      </c>
      <c r="D12" s="41">
        <f>D$3*D$10</f>
        <v>25000</v>
      </c>
      <c r="E12" s="35"/>
      <c r="F12" s="35"/>
      <c r="G12" s="39"/>
    </row>
    <row r="13" spans="1:10" x14ac:dyDescent="0.25">
      <c r="A13" s="31"/>
      <c r="B13" s="148"/>
      <c r="C13" s="33"/>
      <c r="D13" s="35"/>
      <c r="E13" s="35"/>
      <c r="F13" s="35" t="s">
        <v>61</v>
      </c>
      <c r="G13" s="38">
        <f>IF(G$5&gt;=G$11,G$5-G$11,"0")</f>
        <v>11000</v>
      </c>
    </row>
    <row r="14" spans="1:10" x14ac:dyDescent="0.25">
      <c r="A14" s="31"/>
      <c r="B14" s="138"/>
      <c r="C14" s="33" t="s">
        <v>35</v>
      </c>
      <c r="D14" s="42" t="str">
        <f>IF(D$3&lt;=D$5,"YES","NO STOP")</f>
        <v>YES</v>
      </c>
      <c r="E14" s="35"/>
      <c r="F14" s="35"/>
      <c r="G14" s="39"/>
      <c r="H14" s="10"/>
    </row>
    <row r="15" spans="1:10" x14ac:dyDescent="0.25">
      <c r="A15" s="31"/>
      <c r="B15" s="137"/>
      <c r="C15" s="33" t="s">
        <v>37</v>
      </c>
      <c r="D15" s="35"/>
      <c r="E15" s="35"/>
      <c r="F15" s="45" t="s">
        <v>14</v>
      </c>
      <c r="G15" s="46">
        <f>G$13*D$7</f>
        <v>11000</v>
      </c>
    </row>
    <row r="16" spans="1:10" x14ac:dyDescent="0.25">
      <c r="A16" s="31"/>
      <c r="B16" s="137"/>
      <c r="C16" s="43" t="s">
        <v>38</v>
      </c>
      <c r="D16" s="44">
        <f>IF(D$14 ="YES", ROUND((D$3/D$5),2), "ERROR ")</f>
        <v>0.8</v>
      </c>
      <c r="E16" s="35"/>
      <c r="F16" s="48" t="s">
        <v>70</v>
      </c>
      <c r="G16" s="51">
        <f>IF(G$15&gt;0,G4-G15,D5-D6)</f>
        <v>34000</v>
      </c>
    </row>
    <row r="17" spans="1:7" x14ac:dyDescent="0.25">
      <c r="A17" s="31"/>
      <c r="B17" s="137"/>
      <c r="C17" s="33"/>
      <c r="D17" s="47">
        <v>1</v>
      </c>
      <c r="E17" s="35"/>
      <c r="F17" s="48" t="s">
        <v>71</v>
      </c>
      <c r="G17" s="51">
        <f>G$4</f>
        <v>45000</v>
      </c>
    </row>
    <row r="18" spans="1:7" x14ac:dyDescent="0.25">
      <c r="A18" s="31"/>
      <c r="B18" s="137"/>
      <c r="C18" s="33"/>
      <c r="D18" s="47"/>
      <c r="E18" s="35"/>
      <c r="F18" s="45" t="s">
        <v>68</v>
      </c>
      <c r="G18" s="51">
        <f>IF(G$13&gt;0,G$15-D$8,D$8*-1)</f>
        <v>6348</v>
      </c>
    </row>
    <row r="19" spans="1:7" x14ac:dyDescent="0.25">
      <c r="A19" s="31"/>
      <c r="B19" s="137"/>
      <c r="C19" s="33"/>
      <c r="D19" s="35"/>
      <c r="E19" s="35"/>
      <c r="G19" s="17"/>
    </row>
    <row r="20" spans="1:7" ht="15" customHeight="1" x14ac:dyDescent="0.25">
      <c r="A20" s="31"/>
      <c r="B20" s="142"/>
      <c r="C20" s="72" t="s">
        <v>77</v>
      </c>
      <c r="D20" s="73"/>
      <c r="E20" s="73"/>
      <c r="F20" s="52" t="s">
        <v>78</v>
      </c>
      <c r="G20" s="53">
        <f>D$6+G18</f>
        <v>86348</v>
      </c>
    </row>
    <row r="21" spans="1:7" x14ac:dyDescent="0.25">
      <c r="A21" s="31"/>
      <c r="B21" s="142"/>
      <c r="C21" s="74"/>
      <c r="D21" s="75"/>
      <c r="E21" s="75"/>
      <c r="F21" s="54" t="s">
        <v>79</v>
      </c>
      <c r="G21" s="55">
        <f>D5-G4</f>
        <v>80000</v>
      </c>
    </row>
  </sheetData>
  <sheetProtection algorithmName="SHA-512" hashValue="EYynxF351uJYUL1D1SB4CcaYwoaJoV9d6n4mUhkqDBhigAN9CNmNSawNw04gGAinHU7XQLzkT+7mFPxUIylTXQ==" saltValue="5ZMYinv3Ql5szqDBvGDKCQ==" spinCount="100000" sheet="1" objects="1" scenarios="1"/>
  <mergeCells count="3">
    <mergeCell ref="C2:G2"/>
    <mergeCell ref="I2:J2"/>
    <mergeCell ref="C20:E21"/>
  </mergeCells>
  <dataValidations count="2">
    <dataValidation type="whole" allowBlank="1" showInputMessage="1" showErrorMessage="1" error="Must be a number from 1 to 100" sqref="D7 B13">
      <formula1>1</formula1>
      <formula2>100</formula2>
    </dataValidation>
    <dataValidation type="list" showInputMessage="1" showErrorMessage="1" error="Select a coverage level" promptTitle="Coverage level" sqref="D4 B10">
      <formula1>Cov_level</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zoomScale="160" zoomScaleNormal="160" workbookViewId="0">
      <selection activeCell="B13" sqref="B13"/>
    </sheetView>
  </sheetViews>
  <sheetFormatPr defaultRowHeight="15" x14ac:dyDescent="0.25"/>
  <cols>
    <col min="4" max="4" width="25.85546875" customWidth="1"/>
    <col min="5" max="5" width="11.5703125" customWidth="1"/>
    <col min="6" max="6" width="2.140625" customWidth="1"/>
    <col min="7" max="7" width="26.85546875" customWidth="1"/>
    <col min="8" max="8" width="11.7109375" bestFit="1" customWidth="1"/>
    <col min="9" max="9" width="5.7109375" customWidth="1"/>
    <col min="10" max="10" width="14.85546875" customWidth="1"/>
    <col min="11" max="11" width="16.42578125" customWidth="1"/>
  </cols>
  <sheetData>
    <row r="1" spans="1:11" x14ac:dyDescent="0.25">
      <c r="D1" s="10"/>
      <c r="E1" s="67"/>
    </row>
    <row r="2" spans="1:11" x14ac:dyDescent="0.25">
      <c r="E2" s="5"/>
    </row>
    <row r="3" spans="1:11" x14ac:dyDescent="0.25">
      <c r="A3" s="64" t="s">
        <v>56</v>
      </c>
      <c r="C3" s="17"/>
      <c r="D3" s="82" t="s">
        <v>65</v>
      </c>
      <c r="E3" s="83"/>
      <c r="F3" s="83"/>
      <c r="G3" s="83"/>
      <c r="H3" s="84"/>
      <c r="J3" s="71"/>
      <c r="K3" s="71"/>
    </row>
    <row r="4" spans="1:11" x14ac:dyDescent="0.25">
      <c r="A4" t="s">
        <v>55</v>
      </c>
      <c r="C4" s="17"/>
      <c r="D4" s="10" t="s">
        <v>0</v>
      </c>
      <c r="E4" s="151">
        <f>100000</f>
        <v>100000</v>
      </c>
      <c r="F4" s="11"/>
      <c r="G4" s="11" t="s">
        <v>64</v>
      </c>
      <c r="H4" s="18"/>
    </row>
    <row r="5" spans="1:11" x14ac:dyDescent="0.25">
      <c r="A5" t="s">
        <v>102</v>
      </c>
      <c r="C5" s="17"/>
      <c r="D5" s="10" t="s">
        <v>1</v>
      </c>
      <c r="E5" s="152">
        <f>'URF2'!D4</f>
        <v>0.75</v>
      </c>
      <c r="F5" s="11"/>
      <c r="G5" s="11" t="s">
        <v>54</v>
      </c>
      <c r="H5" s="19">
        <v>1</v>
      </c>
    </row>
    <row r="6" spans="1:11" x14ac:dyDescent="0.25">
      <c r="A6" t="s">
        <v>97</v>
      </c>
      <c r="C6" s="17"/>
      <c r="D6" s="10" t="s">
        <v>81</v>
      </c>
      <c r="E6" s="151">
        <v>4652</v>
      </c>
      <c r="F6" s="11"/>
      <c r="G6" s="11" t="s">
        <v>17</v>
      </c>
      <c r="H6" s="16">
        <f>E$26</f>
        <v>1</v>
      </c>
      <c r="J6" s="29"/>
      <c r="K6" s="29"/>
    </row>
    <row r="7" spans="1:11" x14ac:dyDescent="0.25">
      <c r="A7" t="s">
        <v>66</v>
      </c>
      <c r="C7" s="17"/>
      <c r="D7" s="10" t="s">
        <v>26</v>
      </c>
      <c r="E7" s="151">
        <f>'URF2'!G15</f>
        <v>11000</v>
      </c>
      <c r="F7" s="11"/>
      <c r="G7" s="11" t="s">
        <v>20</v>
      </c>
      <c r="H7" s="20">
        <f>MIN(H$5,H$6)</f>
        <v>1</v>
      </c>
    </row>
    <row r="8" spans="1:11" x14ac:dyDescent="0.25">
      <c r="A8" t="s">
        <v>67</v>
      </c>
      <c r="C8" s="17"/>
      <c r="D8" s="10" t="s">
        <v>80</v>
      </c>
      <c r="E8" s="151">
        <f>'URF2'!G5</f>
        <v>36000</v>
      </c>
      <c r="F8" s="11"/>
      <c r="G8" s="11"/>
      <c r="H8" s="17"/>
    </row>
    <row r="9" spans="1:11" x14ac:dyDescent="0.25">
      <c r="A9" t="s">
        <v>35</v>
      </c>
      <c r="C9" s="17"/>
      <c r="D9" s="66" t="s">
        <v>96</v>
      </c>
      <c r="E9" s="151">
        <f>'URF2'!G4</f>
        <v>45000</v>
      </c>
      <c r="F9" s="11"/>
      <c r="G9" s="11"/>
      <c r="H9" s="17"/>
    </row>
    <row r="10" spans="1:11" x14ac:dyDescent="0.25">
      <c r="C10" s="17"/>
      <c r="D10" s="10" t="s">
        <v>15</v>
      </c>
      <c r="E10" s="153">
        <f>'URF2'!D7</f>
        <v>1</v>
      </c>
      <c r="F10" s="11"/>
      <c r="G10" s="11"/>
      <c r="H10" s="17"/>
    </row>
    <row r="11" spans="1:11" x14ac:dyDescent="0.25">
      <c r="C11" s="17"/>
      <c r="D11" s="66" t="s">
        <v>87</v>
      </c>
      <c r="E11" s="154">
        <v>60000</v>
      </c>
      <c r="F11" s="11"/>
      <c r="G11" s="11" t="s">
        <v>10</v>
      </c>
      <c r="H11" s="21">
        <f>E$12-E$13</f>
        <v>66000</v>
      </c>
    </row>
    <row r="12" spans="1:11" x14ac:dyDescent="0.25">
      <c r="C12" s="17"/>
      <c r="D12" s="10" t="s">
        <v>8</v>
      </c>
      <c r="E12" s="154">
        <v>124000</v>
      </c>
      <c r="F12" s="11"/>
      <c r="G12" s="11" t="s">
        <v>13</v>
      </c>
      <c r="H12" s="21">
        <f>H$11*H$7</f>
        <v>66000</v>
      </c>
    </row>
    <row r="13" spans="1:11" x14ac:dyDescent="0.25">
      <c r="C13" s="17"/>
      <c r="D13" s="10" t="s">
        <v>9</v>
      </c>
      <c r="E13" s="154">
        <v>58000</v>
      </c>
      <c r="F13" s="11"/>
      <c r="G13" s="11"/>
      <c r="H13" s="17"/>
    </row>
    <row r="14" spans="1:11" x14ac:dyDescent="0.25">
      <c r="C14" s="17"/>
      <c r="D14" s="10" t="s">
        <v>76</v>
      </c>
      <c r="E14" s="154">
        <v>530</v>
      </c>
      <c r="F14" s="11"/>
      <c r="G14" s="11" t="s">
        <v>11</v>
      </c>
      <c r="H14" s="17"/>
      <c r="K14" s="3"/>
    </row>
    <row r="15" spans="1:11" x14ac:dyDescent="0.25">
      <c r="C15" s="17"/>
      <c r="D15" s="10"/>
      <c r="E15" s="11"/>
      <c r="F15" s="11"/>
      <c r="G15" s="11" t="s">
        <v>16</v>
      </c>
      <c r="H15" s="17"/>
    </row>
    <row r="16" spans="1:11" x14ac:dyDescent="0.25">
      <c r="C16" s="17"/>
      <c r="D16" s="10"/>
      <c r="E16" s="11"/>
      <c r="F16" s="11"/>
      <c r="G16" s="11" t="s">
        <v>29</v>
      </c>
      <c r="H16" s="21">
        <f>E$17*E$12*H$7</f>
        <v>31000</v>
      </c>
    </row>
    <row r="17" spans="3:11" x14ac:dyDescent="0.25">
      <c r="C17" s="17"/>
      <c r="D17" s="10" t="s">
        <v>12</v>
      </c>
      <c r="E17" s="12" t="str">
        <f>IF(E$5=0.75,"0.25",IF(E$5=0.7,"0.30",IF(E$5=0.65,"0.35",IF(E$5=0.6,"0.4",IF(E$5=0.55,"0.45",IF(E$5=0.5,"0.50"))))))</f>
        <v>0.25</v>
      </c>
      <c r="F17" s="11"/>
      <c r="G17" s="11" t="s">
        <v>3</v>
      </c>
      <c r="H17" s="21">
        <f>E$22</f>
        <v>15000</v>
      </c>
    </row>
    <row r="18" spans="3:11" ht="17.25" x14ac:dyDescent="0.4">
      <c r="C18" s="17"/>
      <c r="D18" s="10" t="s">
        <v>2</v>
      </c>
      <c r="E18" s="13">
        <f>(E$4*E$5)-E$7</f>
        <v>64000</v>
      </c>
      <c r="F18" s="11"/>
      <c r="G18" s="14" t="s">
        <v>19</v>
      </c>
      <c r="H18" s="22">
        <f>MIN(H$16,H$17)</f>
        <v>15000</v>
      </c>
    </row>
    <row r="19" spans="3:11" x14ac:dyDescent="0.25">
      <c r="C19" s="17"/>
      <c r="D19" s="10" t="s">
        <v>63</v>
      </c>
      <c r="E19" s="13">
        <f>E11</f>
        <v>60000</v>
      </c>
      <c r="F19" s="11"/>
      <c r="G19" s="11"/>
      <c r="H19" s="23"/>
    </row>
    <row r="20" spans="3:11" x14ac:dyDescent="0.25">
      <c r="C20" s="17"/>
      <c r="D20" s="10" t="s">
        <v>59</v>
      </c>
      <c r="E20" s="13">
        <f>E$11*E$5</f>
        <v>45000</v>
      </c>
      <c r="F20" s="11"/>
      <c r="G20" s="11" t="s">
        <v>24</v>
      </c>
      <c r="H20" s="21">
        <f>IF(H$12&gt;=H$18,H$12-H$18,"0")</f>
        <v>51000</v>
      </c>
    </row>
    <row r="21" spans="3:11" x14ac:dyDescent="0.25">
      <c r="C21" s="17"/>
      <c r="D21" s="10" t="s">
        <v>27</v>
      </c>
      <c r="E21" s="13">
        <f>(E$18+E$20)</f>
        <v>109000</v>
      </c>
      <c r="F21" s="11"/>
      <c r="G21" s="11"/>
      <c r="H21" s="17"/>
    </row>
    <row r="22" spans="3:11" x14ac:dyDescent="0.25">
      <c r="C22" s="17"/>
      <c r="D22" s="10" t="s">
        <v>28</v>
      </c>
      <c r="E22" s="13">
        <f>E$11*E$17</f>
        <v>15000</v>
      </c>
      <c r="F22" s="11"/>
      <c r="G22" s="11"/>
      <c r="H22" s="17"/>
    </row>
    <row r="23" spans="3:11" x14ac:dyDescent="0.25">
      <c r="C23" s="17"/>
      <c r="D23" s="10"/>
      <c r="E23" s="11"/>
      <c r="F23" s="11"/>
      <c r="G23" s="24" t="s">
        <v>14</v>
      </c>
      <c r="H23" s="25">
        <f>H$20*E$10</f>
        <v>51000</v>
      </c>
    </row>
    <row r="24" spans="3:11" x14ac:dyDescent="0.25">
      <c r="C24" s="17"/>
      <c r="D24" s="10" t="s">
        <v>58</v>
      </c>
      <c r="E24" s="15" t="str">
        <f>IF((E$4+E$19-E$8)&lt;=E$12,"YES","NO STOP")</f>
        <v>YES</v>
      </c>
      <c r="F24" s="11"/>
      <c r="G24" s="26" t="s">
        <v>74</v>
      </c>
      <c r="H24" s="27">
        <f>H$11-H$23</f>
        <v>15000</v>
      </c>
      <c r="J24" s="4"/>
    </row>
    <row r="25" spans="3:11" x14ac:dyDescent="0.25">
      <c r="C25" s="17"/>
      <c r="D25" s="10"/>
      <c r="E25" s="11"/>
      <c r="F25" s="11"/>
      <c r="G25" s="26" t="s">
        <v>75</v>
      </c>
      <c r="H25" s="27">
        <f>H$11</f>
        <v>66000</v>
      </c>
    </row>
    <row r="26" spans="3:11" x14ac:dyDescent="0.25">
      <c r="C26" s="17"/>
      <c r="D26" s="10" t="s">
        <v>17</v>
      </c>
      <c r="E26" s="56">
        <f>(E$4+E$19-E$8)/E$12</f>
        <v>1</v>
      </c>
      <c r="F26" s="11"/>
      <c r="G26" s="26" t="s">
        <v>68</v>
      </c>
      <c r="H26" s="25">
        <f>IF(H$23&gt;0,H$23-E$14,E$14*-1)</f>
        <v>50470</v>
      </c>
    </row>
    <row r="27" spans="3:11" x14ac:dyDescent="0.25">
      <c r="C27" s="17"/>
      <c r="D27" s="10"/>
      <c r="E27" s="11"/>
      <c r="F27" s="11"/>
      <c r="G27" s="11"/>
      <c r="H27" s="17"/>
    </row>
    <row r="28" spans="3:11" x14ac:dyDescent="0.25">
      <c r="C28" s="17"/>
      <c r="D28" s="87" t="s">
        <v>82</v>
      </c>
      <c r="E28" s="88"/>
      <c r="F28" s="85"/>
      <c r="G28" s="57" t="s">
        <v>83</v>
      </c>
      <c r="H28" s="58">
        <f>E9-E7+H11-H23</f>
        <v>49000</v>
      </c>
      <c r="J28" s="60"/>
      <c r="K28" s="11"/>
    </row>
    <row r="29" spans="3:11" x14ac:dyDescent="0.25">
      <c r="C29" s="17"/>
      <c r="D29" s="89"/>
      <c r="E29" s="90"/>
      <c r="F29" s="86"/>
      <c r="G29" s="26" t="s">
        <v>84</v>
      </c>
      <c r="H29" s="27">
        <f>E9+H11</f>
        <v>111000</v>
      </c>
    </row>
    <row r="30" spans="3:11" x14ac:dyDescent="0.25">
      <c r="C30" s="17"/>
      <c r="D30" s="87" t="s">
        <v>77</v>
      </c>
      <c r="E30" s="88"/>
      <c r="F30" s="93"/>
      <c r="G30" s="59" t="s">
        <v>78</v>
      </c>
      <c r="H30" s="58">
        <f>E$13+H$26-E6-E14</f>
        <v>103288</v>
      </c>
    </row>
    <row r="31" spans="3:11" x14ac:dyDescent="0.25">
      <c r="C31" s="17"/>
      <c r="D31" s="91"/>
      <c r="E31" s="92"/>
      <c r="F31" s="94"/>
      <c r="G31" s="30" t="s">
        <v>79</v>
      </c>
      <c r="H31" s="28">
        <f>E13</f>
        <v>58000</v>
      </c>
    </row>
  </sheetData>
  <sheetProtection algorithmName="SHA-512" hashValue="nS3ZVZTbXB6KJxfIw6HaDdw1BIPtXqlG/m9YL+utNP+8SiKgEhH2tgScM2uECeRRE2DFyy/6ndr++llcq1oKKA==" saltValue="1ZFXqdNu1bfp+q3NkgtHqQ==" spinCount="100000" sheet="1" objects="1" scenarios="1"/>
  <mergeCells count="6">
    <mergeCell ref="D3:H3"/>
    <mergeCell ref="J3:K3"/>
    <mergeCell ref="F28:F29"/>
    <mergeCell ref="D28:E29"/>
    <mergeCell ref="D30:E31"/>
    <mergeCell ref="F30:F31"/>
  </mergeCells>
  <dataValidations count="3">
    <dataValidation type="decimal" errorStyle="warning" allowBlank="1" showInputMessage="1" showErrorMessage="1" error="Must be a decimal number from 0.01 to 1" sqref="J24">
      <formula1>0.001</formula1>
      <formula2>1</formula2>
    </dataValidation>
    <dataValidation type="decimal" errorStyle="warning" allowBlank="1" showInputMessage="1" showErrorMessage="1" error="IF URF &gt;1 STOP GO TO ORF" sqref="E26">
      <formula1>0</formula1>
      <formula2>1</formula2>
    </dataValidation>
    <dataValidation type="list" allowBlank="1" showInputMessage="1" showErrorMessage="1" sqref="K14">
      <formula1>Peak_IVR_Loss_URF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17"/>
  <sheetViews>
    <sheetView zoomScale="150" zoomScaleNormal="150" workbookViewId="0">
      <selection activeCell="H23" sqref="H23"/>
    </sheetView>
  </sheetViews>
  <sheetFormatPr defaultRowHeight="15" x14ac:dyDescent="0.25"/>
  <cols>
    <col min="3" max="3" width="10.5703125" customWidth="1"/>
    <col min="5" max="6" width="10.5703125" bestFit="1" customWidth="1"/>
  </cols>
  <sheetData>
    <row r="2" spans="3:8" x14ac:dyDescent="0.25">
      <c r="E2" s="77" t="s">
        <v>94</v>
      </c>
      <c r="F2" s="77"/>
    </row>
    <row r="3" spans="3:8" x14ac:dyDescent="0.25">
      <c r="E3" s="64" t="s">
        <v>88</v>
      </c>
      <c r="F3" s="31" t="s">
        <v>55</v>
      </c>
    </row>
    <row r="4" spans="3:8" x14ac:dyDescent="0.25">
      <c r="E4" s="64" t="s">
        <v>92</v>
      </c>
      <c r="F4" s="31" t="s">
        <v>66</v>
      </c>
    </row>
    <row r="5" spans="3:8" x14ac:dyDescent="0.25">
      <c r="E5" s="64" t="s">
        <v>95</v>
      </c>
      <c r="F5" s="31" t="s">
        <v>67</v>
      </c>
    </row>
    <row r="6" spans="3:8" x14ac:dyDescent="0.25">
      <c r="E6" s="64" t="s">
        <v>45</v>
      </c>
      <c r="F6" s="65">
        <v>100000</v>
      </c>
    </row>
    <row r="8" spans="3:8" x14ac:dyDescent="0.25">
      <c r="C8" s="64" t="s">
        <v>12</v>
      </c>
      <c r="D8" s="64" t="s">
        <v>4</v>
      </c>
      <c r="E8" s="64" t="s">
        <v>5</v>
      </c>
      <c r="F8" s="64" t="s">
        <v>30</v>
      </c>
      <c r="G8" s="64" t="s">
        <v>32</v>
      </c>
      <c r="H8" s="64" t="s">
        <v>31</v>
      </c>
    </row>
    <row r="9" spans="3:8" x14ac:dyDescent="0.25">
      <c r="D9" s="64" t="s">
        <v>7</v>
      </c>
      <c r="E9" s="64"/>
      <c r="F9" s="64" t="s">
        <v>6</v>
      </c>
      <c r="G9" s="64" t="s">
        <v>33</v>
      </c>
      <c r="H9" s="64" t="s">
        <v>6</v>
      </c>
    </row>
    <row r="11" spans="3:8" x14ac:dyDescent="0.25">
      <c r="C11" s="2">
        <v>0.25</v>
      </c>
      <c r="D11" s="1">
        <v>0.75</v>
      </c>
      <c r="E11" s="7">
        <v>75000</v>
      </c>
      <c r="F11" s="7">
        <v>10337</v>
      </c>
      <c r="G11">
        <v>5685</v>
      </c>
      <c r="H11" s="7">
        <v>4652</v>
      </c>
    </row>
    <row r="12" spans="3:8" x14ac:dyDescent="0.25">
      <c r="C12" s="2">
        <v>0.3</v>
      </c>
      <c r="D12" s="1">
        <v>0.7</v>
      </c>
      <c r="E12" s="7">
        <v>70000</v>
      </c>
      <c r="F12" s="7">
        <v>7218</v>
      </c>
      <c r="G12">
        <v>4259</v>
      </c>
      <c r="H12" s="7">
        <v>2959</v>
      </c>
    </row>
    <row r="13" spans="3:8" x14ac:dyDescent="0.25">
      <c r="C13" s="2">
        <v>0.35</v>
      </c>
      <c r="D13" s="1">
        <v>0.65</v>
      </c>
      <c r="E13" s="7">
        <v>65000</v>
      </c>
      <c r="F13" s="7">
        <v>5070</v>
      </c>
      <c r="G13">
        <v>2991</v>
      </c>
      <c r="H13" s="7">
        <v>2079</v>
      </c>
    </row>
    <row r="14" spans="3:8" x14ac:dyDescent="0.25">
      <c r="C14" s="2">
        <v>0.4</v>
      </c>
      <c r="D14" s="1">
        <v>0.6</v>
      </c>
      <c r="E14" s="7">
        <v>60000</v>
      </c>
      <c r="F14" s="7">
        <v>3580</v>
      </c>
      <c r="G14">
        <v>2291</v>
      </c>
      <c r="H14" s="7">
        <v>1289</v>
      </c>
    </row>
    <row r="15" spans="3:8" x14ac:dyDescent="0.25">
      <c r="C15" s="2">
        <v>0.45</v>
      </c>
      <c r="D15" s="1">
        <v>0.55000000000000004</v>
      </c>
      <c r="E15" s="7">
        <v>55000</v>
      </c>
      <c r="F15" s="7">
        <v>2561</v>
      </c>
      <c r="G15">
        <v>1639</v>
      </c>
      <c r="H15" s="7">
        <v>922</v>
      </c>
    </row>
    <row r="16" spans="3:8" x14ac:dyDescent="0.25">
      <c r="C16" s="2">
        <v>0.5</v>
      </c>
      <c r="D16" s="1">
        <v>0.5</v>
      </c>
      <c r="E16" s="7">
        <v>50000</v>
      </c>
      <c r="F16" s="7">
        <v>1845</v>
      </c>
      <c r="G16">
        <v>1236</v>
      </c>
      <c r="H16" s="7">
        <v>609</v>
      </c>
    </row>
    <row r="17" spans="4:8" x14ac:dyDescent="0.25">
      <c r="D17" s="9" t="s">
        <v>34</v>
      </c>
      <c r="E17" s="7">
        <v>27500</v>
      </c>
      <c r="F17">
        <v>508</v>
      </c>
      <c r="G17">
        <v>508</v>
      </c>
      <c r="H17" s="8">
        <v>0</v>
      </c>
    </row>
  </sheetData>
  <sheetProtection algorithmName="SHA-512" hashValue="tgKE/A5K4GO+GRkps6VplC0xp16HW8W9Y4Ig6+ZwsYKeBpS5SJDgKTnwOltvYd0uIYaicw7VSuDCOc/dcd/KOg==" saltValue="IyGXrZTiYCGvQaHCPLuFxg==" spinCount="100000" sheet="1" objects="1" scenarios="1"/>
  <mergeCells count="1">
    <mergeCell ref="E2:F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Disclaimer</vt:lpstr>
      <vt:lpstr>URF </vt:lpstr>
      <vt:lpstr> ORF</vt:lpstr>
      <vt:lpstr>URF2</vt:lpstr>
      <vt:lpstr>URF Loss Peak EO</vt:lpstr>
      <vt:lpstr>Premiums</vt:lpstr>
      <vt:lpstr>Amount_of_Insurance</vt:lpstr>
      <vt:lpstr>Cov_level</vt:lpstr>
      <vt:lpstr>Deductible</vt:lpstr>
      <vt:lpstr>'URF2'!Peak_IVR_Loss_URF</vt:lpstr>
      <vt:lpstr>Peak_IVR_Loss_URF</vt:lpstr>
    </vt:vector>
  </TitlesOfParts>
  <Company>University of Florida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Ballen, Fredy H</dc:creator>
  <cp:lastModifiedBy>Ballen, Fredy H</cp:lastModifiedBy>
  <dcterms:created xsi:type="dcterms:W3CDTF">2017-03-08T16:56:44Z</dcterms:created>
  <dcterms:modified xsi:type="dcterms:W3CDTF">2017-12-04T15:53:17Z</dcterms:modified>
</cp:coreProperties>
</file>